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E:\Download\Downloads\Electric Vehicles\Final RFP - November 26\"/>
    </mc:Choice>
  </mc:AlternateContent>
  <xr:revisionPtr revIDLastSave="0" documentId="13_ncr:1_{2D7CDF4D-E78F-48BC-8FCB-B0F4C02FCD6F}" xr6:coauthVersionLast="47" xr6:coauthVersionMax="47" xr10:uidLastSave="{00000000-0000-0000-0000-000000000000}"/>
  <bookViews>
    <workbookView xWindow="-110" yWindow="-110" windowWidth="19420" windowHeight="11500" activeTab="3" xr2:uid="{BAFAC6E2-1A03-47DA-A1AB-84D45E0E19DA}"/>
  </bookViews>
  <sheets>
    <sheet name="Instruction Sheet" sheetId="4" r:id="rId1"/>
    <sheet name="Amendment Sheet" sheetId="5" r:id="rId2"/>
    <sheet name="Data Sheet" sheetId="1" r:id="rId3"/>
    <sheet name="Cash Flow" sheetId="2" r:id="rId4"/>
  </sheets>
  <externalReferences>
    <externalReference r:id="rId5"/>
    <externalReference r:id="rId6"/>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6" i="2" l="1"/>
  <c r="B33" i="1"/>
  <c r="B32" i="1"/>
  <c r="B43" i="1"/>
  <c r="F54" i="2" s="1"/>
  <c r="I15" i="2"/>
  <c r="J15" i="2" s="1"/>
  <c r="K15" i="2" s="1"/>
  <c r="L15" i="2" s="1"/>
  <c r="M15" i="2" s="1"/>
  <c r="N15" i="2" s="1"/>
  <c r="I22" i="2"/>
  <c r="J22" i="2" s="1"/>
  <c r="K22" i="2" s="1"/>
  <c r="L22" i="2" s="1"/>
  <c r="M22" i="2" s="1"/>
  <c r="N22" i="2" s="1"/>
  <c r="B44" i="1"/>
  <c r="F61" i="2"/>
  <c r="F64" i="2"/>
  <c r="I50" i="2"/>
  <c r="I64" i="2" s="1"/>
  <c r="G39" i="2"/>
  <c r="H39" i="2" s="1"/>
  <c r="G41" i="2"/>
  <c r="H41" i="2" s="1"/>
  <c r="F42" i="2"/>
  <c r="I42" i="2" s="1"/>
  <c r="G36" i="2"/>
  <c r="H36" i="2" s="1"/>
  <c r="G37" i="2"/>
  <c r="H37" i="2" s="1"/>
  <c r="G38" i="2"/>
  <c r="H38" i="2" s="1"/>
  <c r="B16" i="1"/>
  <c r="E16" i="1"/>
  <c r="H16" i="1"/>
  <c r="J50" i="2" l="1"/>
  <c r="J64" i="2" s="1"/>
  <c r="G42" i="2"/>
  <c r="H42" i="2" s="1"/>
  <c r="J42" i="2"/>
  <c r="K42" i="2" s="1"/>
  <c r="L42" i="2" s="1"/>
  <c r="E19" i="1"/>
  <c r="H19" i="1" s="1"/>
  <c r="H7" i="1"/>
  <c r="E7" i="1"/>
  <c r="B7" i="1"/>
  <c r="B41" i="1"/>
  <c r="K50" i="2" l="1"/>
  <c r="K64" i="2" s="1"/>
  <c r="H10" i="1"/>
  <c r="H14" i="1" s="1"/>
  <c r="B10" i="1"/>
  <c r="B14" i="1" s="1"/>
  <c r="G22" i="2"/>
  <c r="H22" i="2" s="1"/>
  <c r="N13" i="2"/>
  <c r="M13" i="2"/>
  <c r="L13" i="2"/>
  <c r="K13" i="2"/>
  <c r="J13" i="2"/>
  <c r="I13" i="2"/>
  <c r="F13" i="2"/>
  <c r="N12" i="2"/>
  <c r="M12" i="2"/>
  <c r="L12" i="2"/>
  <c r="K12" i="2"/>
  <c r="J12" i="2"/>
  <c r="I12" i="2"/>
  <c r="F12" i="2"/>
  <c r="G12" i="2" s="1"/>
  <c r="H12" i="2" s="1"/>
  <c r="F2" i="2"/>
  <c r="G34" i="2"/>
  <c r="H34" i="2" s="1"/>
  <c r="G33" i="2"/>
  <c r="H33" i="2" s="1"/>
  <c r="G30" i="2"/>
  <c r="H30" i="2" s="1"/>
  <c r="G25" i="2"/>
  <c r="H25" i="2" s="1"/>
  <c r="I20" i="2"/>
  <c r="G19" i="2"/>
  <c r="H19" i="2" s="1"/>
  <c r="G18" i="2"/>
  <c r="H18" i="2" s="1"/>
  <c r="G8" i="2"/>
  <c r="C73" i="1"/>
  <c r="D73" i="1" s="1"/>
  <c r="E73" i="1" s="1"/>
  <c r="F73" i="1" s="1"/>
  <c r="G73" i="1" s="1"/>
  <c r="H73" i="1" s="1"/>
  <c r="B57" i="1"/>
  <c r="B24" i="1"/>
  <c r="E10" i="1"/>
  <c r="E14" i="1" s="1"/>
  <c r="L50" i="2" l="1"/>
  <c r="L64" i="2" s="1"/>
  <c r="M50" i="2"/>
  <c r="M64" i="2" s="1"/>
  <c r="E22" i="2"/>
  <c r="B12" i="1"/>
  <c r="B17" i="1" s="1"/>
  <c r="E12" i="1"/>
  <c r="E17" i="1" s="1"/>
  <c r="E12" i="2"/>
  <c r="I8" i="2"/>
  <c r="J8" i="2" s="1"/>
  <c r="K8" i="2" s="1"/>
  <c r="L8" i="2" s="1"/>
  <c r="M8" i="2" s="1"/>
  <c r="N8" i="2" s="1"/>
  <c r="G20" i="2"/>
  <c r="H20" i="2" s="1"/>
  <c r="I7" i="2"/>
  <c r="G7" i="2"/>
  <c r="I2" i="2"/>
  <c r="G2" i="2"/>
  <c r="H8" i="2"/>
  <c r="G13" i="2"/>
  <c r="H13" i="2" s="1"/>
  <c r="J20" i="2"/>
  <c r="H12" i="1"/>
  <c r="H17" i="1" s="1"/>
  <c r="H18" i="1" s="1"/>
  <c r="B18" i="1" l="1"/>
  <c r="B20" i="1"/>
  <c r="N50" i="2"/>
  <c r="N64" i="2" s="1"/>
  <c r="E20" i="1"/>
  <c r="E18" i="1"/>
  <c r="B15" i="1"/>
  <c r="B13" i="1"/>
  <c r="H13" i="1"/>
  <c r="E13" i="1"/>
  <c r="E8" i="2"/>
  <c r="E15" i="1"/>
  <c r="H20" i="1"/>
  <c r="H15" i="1"/>
  <c r="E13" i="2"/>
  <c r="J2" i="2"/>
  <c r="J7" i="2"/>
  <c r="H7" i="2"/>
  <c r="K20" i="2"/>
  <c r="H2" i="2"/>
  <c r="B25" i="1"/>
  <c r="B23" i="1"/>
  <c r="F63" i="2" s="1"/>
  <c r="F65" i="2" s="1"/>
  <c r="B27" i="1" l="1"/>
  <c r="B29" i="1" s="1"/>
  <c r="O50" i="2"/>
  <c r="O64" i="2" s="1"/>
  <c r="F14" i="2"/>
  <c r="I60" i="2"/>
  <c r="B75" i="1"/>
  <c r="B26" i="1"/>
  <c r="L20" i="2"/>
  <c r="K7" i="2"/>
  <c r="K2" i="2"/>
  <c r="B74" i="1"/>
  <c r="I26" i="2" l="1"/>
  <c r="J60" i="2" s="1"/>
  <c r="F9" i="2"/>
  <c r="I14" i="2"/>
  <c r="J14" i="2" s="1"/>
  <c r="K14" i="2" s="1"/>
  <c r="L14" i="2" s="1"/>
  <c r="M14" i="2" s="1"/>
  <c r="N14" i="2" s="1"/>
  <c r="G14" i="2"/>
  <c r="H14" i="2" s="1"/>
  <c r="G26" i="2"/>
  <c r="B30" i="1"/>
  <c r="L2" i="2"/>
  <c r="M20" i="2"/>
  <c r="L7" i="2"/>
  <c r="H26" i="2" l="1"/>
  <c r="E14" i="2"/>
  <c r="J26" i="2"/>
  <c r="K60" i="2" s="1"/>
  <c r="I9" i="2"/>
  <c r="J9" i="2" s="1"/>
  <c r="K9" i="2" s="1"/>
  <c r="L9" i="2" s="1"/>
  <c r="M9" i="2" s="1"/>
  <c r="N9" i="2" s="1"/>
  <c r="G9" i="2"/>
  <c r="H9" i="2" s="1"/>
  <c r="F3" i="2"/>
  <c r="M7" i="2"/>
  <c r="N20" i="2"/>
  <c r="M2" i="2"/>
  <c r="K26" i="2" l="1"/>
  <c r="L60" i="2" s="1"/>
  <c r="E9" i="2"/>
  <c r="I3" i="2"/>
  <c r="F4" i="2"/>
  <c r="F45" i="2" s="1"/>
  <c r="G3" i="2"/>
  <c r="B76" i="1"/>
  <c r="N2" i="2"/>
  <c r="N7" i="2"/>
  <c r="L26" i="2" l="1"/>
  <c r="M60" i="2" s="1"/>
  <c r="B77" i="1"/>
  <c r="C75" i="1" s="1"/>
  <c r="C76" i="1"/>
  <c r="D76" i="1" s="1"/>
  <c r="E76" i="1" s="1"/>
  <c r="F76" i="1" s="1"/>
  <c r="G76" i="1" s="1"/>
  <c r="H76" i="1" s="1"/>
  <c r="F10" i="2"/>
  <c r="I59" i="2" s="1"/>
  <c r="H3" i="2"/>
  <c r="G4" i="2"/>
  <c r="G45" i="2" s="1"/>
  <c r="F21" i="2"/>
  <c r="G15" i="2"/>
  <c r="H15" i="2" s="1"/>
  <c r="J3" i="2"/>
  <c r="I4" i="2"/>
  <c r="I45" i="2" s="1"/>
  <c r="M26" i="2" l="1"/>
  <c r="N60" i="2" s="1"/>
  <c r="I10" i="2"/>
  <c r="J59" i="2" s="1"/>
  <c r="G10" i="2"/>
  <c r="C77" i="1"/>
  <c r="D75" i="1" s="1"/>
  <c r="D77" i="1" s="1"/>
  <c r="E75" i="1" s="1"/>
  <c r="E77" i="1" s="1"/>
  <c r="F75" i="1" s="1"/>
  <c r="F77" i="1" s="1"/>
  <c r="G75" i="1" s="1"/>
  <c r="G11" i="2"/>
  <c r="H11" i="2" s="1"/>
  <c r="F16" i="2"/>
  <c r="I21" i="2"/>
  <c r="I23" i="2" s="1"/>
  <c r="K3" i="2"/>
  <c r="J4" i="2"/>
  <c r="J45" i="2" s="1"/>
  <c r="F23" i="2"/>
  <c r="G23" i="2" s="1"/>
  <c r="H23" i="2" s="1"/>
  <c r="G21" i="2"/>
  <c r="H21" i="2" s="1"/>
  <c r="H4" i="2"/>
  <c r="H45" i="2" s="1"/>
  <c r="E2" i="2"/>
  <c r="E20" i="2"/>
  <c r="N26" i="2" l="1"/>
  <c r="O60" i="2" s="1"/>
  <c r="J10" i="2"/>
  <c r="K59" i="2" s="1"/>
  <c r="L10" i="2"/>
  <c r="M59" i="2" s="1"/>
  <c r="H10" i="2"/>
  <c r="L3" i="2"/>
  <c r="K4" i="2"/>
  <c r="K45" i="2" s="1"/>
  <c r="I16" i="2"/>
  <c r="I17" i="2" s="1"/>
  <c r="I24" i="2" s="1"/>
  <c r="I27" i="2" s="1"/>
  <c r="J21" i="2"/>
  <c r="J23" i="2" s="1"/>
  <c r="G16" i="2"/>
  <c r="H16" i="2" s="1"/>
  <c r="F17" i="2"/>
  <c r="E7" i="2"/>
  <c r="G77" i="1"/>
  <c r="H75" i="1" s="1"/>
  <c r="E26" i="2" l="1"/>
  <c r="I40" i="2"/>
  <c r="I43" i="2" s="1"/>
  <c r="I44" i="2" s="1"/>
  <c r="I28" i="2" s="1"/>
  <c r="I29" i="2" s="1"/>
  <c r="M10" i="2"/>
  <c r="N59" i="2" s="1"/>
  <c r="K10" i="2"/>
  <c r="L59" i="2" s="1"/>
  <c r="G17" i="2"/>
  <c r="H17" i="2" s="1"/>
  <c r="F24" i="2"/>
  <c r="J16" i="2"/>
  <c r="J17" i="2" s="1"/>
  <c r="J24" i="2" s="1"/>
  <c r="J27" i="2" s="1"/>
  <c r="K21" i="2"/>
  <c r="K23" i="2" s="1"/>
  <c r="M3" i="2"/>
  <c r="L4" i="2"/>
  <c r="L45" i="2" s="1"/>
  <c r="H77" i="1"/>
  <c r="J58" i="2" l="1"/>
  <c r="I35" i="2"/>
  <c r="J40" i="2"/>
  <c r="J43" i="2" s="1"/>
  <c r="J44" i="2" s="1"/>
  <c r="J28" i="2" s="1"/>
  <c r="J29" i="2" s="1"/>
  <c r="N10" i="2"/>
  <c r="O59" i="2" s="1"/>
  <c r="N3" i="2"/>
  <c r="M4" i="2"/>
  <c r="M45" i="2" s="1"/>
  <c r="K16" i="2"/>
  <c r="K17" i="2" s="1"/>
  <c r="K24" i="2" s="1"/>
  <c r="K27" i="2" s="1"/>
  <c r="L21" i="2"/>
  <c r="L23" i="2" s="1"/>
  <c r="F27" i="2"/>
  <c r="F40" i="2" s="1"/>
  <c r="G24" i="2"/>
  <c r="H24" i="2" s="1"/>
  <c r="K58" i="2" l="1"/>
  <c r="E10" i="2"/>
  <c r="J35" i="2"/>
  <c r="G40" i="2"/>
  <c r="H40" i="2" s="1"/>
  <c r="F43" i="2"/>
  <c r="K40" i="2"/>
  <c r="K43" i="2" s="1"/>
  <c r="K44" i="2" s="1"/>
  <c r="K28" i="2" s="1"/>
  <c r="K29" i="2" s="1"/>
  <c r="G27" i="2"/>
  <c r="H27" i="2" s="1"/>
  <c r="L16" i="2"/>
  <c r="L17" i="2" s="1"/>
  <c r="L24" i="2" s="1"/>
  <c r="L27" i="2" s="1"/>
  <c r="M21" i="2"/>
  <c r="N4" i="2"/>
  <c r="N45" i="2" s="1"/>
  <c r="L58" i="2" l="1"/>
  <c r="L61" i="2" s="1"/>
  <c r="L63" i="2" s="1"/>
  <c r="L65" i="2" s="1"/>
  <c r="K35" i="2"/>
  <c r="L40" i="2"/>
  <c r="L43" i="2" s="1"/>
  <c r="L44" i="2" s="1"/>
  <c r="L28" i="2" s="1"/>
  <c r="L29" i="2" s="1"/>
  <c r="F44" i="2"/>
  <c r="G44" i="2" s="1"/>
  <c r="H44" i="2" s="1"/>
  <c r="G43" i="2"/>
  <c r="H43" i="2" s="1"/>
  <c r="N21" i="2"/>
  <c r="N23" i="2" s="1"/>
  <c r="M23" i="2"/>
  <c r="M16" i="2"/>
  <c r="M17" i="2" s="1"/>
  <c r="M58" i="2" l="1"/>
  <c r="M61" i="2" s="1"/>
  <c r="M63" i="2" s="1"/>
  <c r="M65" i="2" s="1"/>
  <c r="L35" i="2"/>
  <c r="M24" i="2"/>
  <c r="M27" i="2" s="1"/>
  <c r="N16" i="2"/>
  <c r="N17" i="2" s="1"/>
  <c r="N24" i="2" s="1"/>
  <c r="N27" i="2" s="1"/>
  <c r="N40" i="2" l="1"/>
  <c r="N43" i="2" s="1"/>
  <c r="N44" i="2" s="1"/>
  <c r="N28" i="2" s="1"/>
  <c r="N29" i="2" s="1"/>
  <c r="O58" i="2" s="1"/>
  <c r="O61" i="2" s="1"/>
  <c r="O63" i="2" s="1"/>
  <c r="O65" i="2" s="1"/>
  <c r="M40" i="2"/>
  <c r="M43" i="2" s="1"/>
  <c r="M44" i="2" s="1"/>
  <c r="M28" i="2" s="1"/>
  <c r="M29" i="2" s="1"/>
  <c r="N58" i="2" s="1"/>
  <c r="N61" i="2" s="1"/>
  <c r="N63" i="2" s="1"/>
  <c r="N65" i="2" s="1"/>
  <c r="E11" i="2"/>
  <c r="F28" i="2"/>
  <c r="E3" i="2"/>
  <c r="M35" i="2" l="1"/>
  <c r="N35" i="2"/>
  <c r="E4" i="2"/>
  <c r="E15" i="2"/>
  <c r="E16" i="2" s="1"/>
  <c r="G28" i="2"/>
  <c r="H28" i="2" s="1"/>
  <c r="F29" i="2"/>
  <c r="I58" i="2" s="1"/>
  <c r="I61" i="2" s="1"/>
  <c r="I63" i="2" s="1"/>
  <c r="I65" i="2" s="1"/>
  <c r="F35" i="2" l="1"/>
  <c r="G35" i="2" s="1"/>
  <c r="H35" i="2" s="1"/>
  <c r="E17" i="2"/>
  <c r="G29" i="2"/>
  <c r="E21" i="2"/>
  <c r="E23" i="2" s="1"/>
  <c r="H29" i="2" l="1"/>
  <c r="K61" i="2" s="1"/>
  <c r="K63" i="2" s="1"/>
  <c r="K65" i="2" s="1"/>
  <c r="J61" i="2"/>
  <c r="J63" i="2" s="1"/>
  <c r="J65" i="2" s="1"/>
  <c r="E28" i="2"/>
  <c r="E24" i="2"/>
  <c r="E27" i="2" s="1"/>
  <c r="F66" i="2" l="1"/>
  <c r="F67" i="2"/>
  <c r="E29" i="2"/>
  <c r="E35" i="2" s="1"/>
  <c r="E33" i="2"/>
</calcChain>
</file>

<file path=xl/sharedStrings.xml><?xml version="1.0" encoding="utf-8"?>
<sst xmlns="http://schemas.openxmlformats.org/spreadsheetml/2006/main" count="175" uniqueCount="126">
  <si>
    <t>Route 1 details</t>
  </si>
  <si>
    <t>Route 2 details</t>
  </si>
  <si>
    <t>Distance (km)</t>
  </si>
  <si>
    <t>No of stops</t>
  </si>
  <si>
    <t>EV Speed (km/h)</t>
  </si>
  <si>
    <t>Shuttle trip details</t>
  </si>
  <si>
    <t>time to complete one trip (mins)</t>
  </si>
  <si>
    <t>Headway time (mins)</t>
  </si>
  <si>
    <t>Layover time (mins)</t>
  </si>
  <si>
    <t>Total time for 1 trip</t>
  </si>
  <si>
    <t>Time available per day (mins)</t>
  </si>
  <si>
    <t xml:space="preserve">One EV total trips per day </t>
  </si>
  <si>
    <t>No of Evs required</t>
  </si>
  <si>
    <t>Average Milage per day</t>
  </si>
  <si>
    <t>Passangers per trip</t>
  </si>
  <si>
    <t>Fare per person (Rs)</t>
  </si>
  <si>
    <t>Total EVs required</t>
  </si>
  <si>
    <t>Total Distance (km)</t>
  </si>
  <si>
    <t>Total Trips</t>
  </si>
  <si>
    <t>Total Mileage per day (km)</t>
  </si>
  <si>
    <t>Total Passegers per day</t>
  </si>
  <si>
    <t>Occupancy Factor</t>
  </si>
  <si>
    <t>Total Occupied capacity</t>
  </si>
  <si>
    <t>Monthly Fare Collection</t>
  </si>
  <si>
    <t>Annual Fare Collecction</t>
  </si>
  <si>
    <t>Annual Increase</t>
  </si>
  <si>
    <t>CAPEX</t>
  </si>
  <si>
    <t>No of EVs</t>
  </si>
  <si>
    <t>Cost per EV</t>
  </si>
  <si>
    <t>Charger Cost</t>
  </si>
  <si>
    <t>Registration and other</t>
  </si>
  <si>
    <t>Total Cost</t>
  </si>
  <si>
    <t>Depriciation Rate</t>
  </si>
  <si>
    <t>Lifespan (yrs)</t>
  </si>
  <si>
    <t>OPEX</t>
  </si>
  <si>
    <t>Direct Operational Costs</t>
  </si>
  <si>
    <t>Maintenance / KM</t>
  </si>
  <si>
    <t>Electricity Price/ KM</t>
  </si>
  <si>
    <t xml:space="preserve">Escalation Fuel </t>
  </si>
  <si>
    <t>Salary / Driver</t>
  </si>
  <si>
    <t>Annual Escalation</t>
  </si>
  <si>
    <t>Drivers / Bus</t>
  </si>
  <si>
    <t>Salary / Workshop Employee</t>
  </si>
  <si>
    <t>Total Employees</t>
  </si>
  <si>
    <t>Others (% of Revenue)</t>
  </si>
  <si>
    <t>Administrative Overheads</t>
  </si>
  <si>
    <t>Admin Staff Salary</t>
  </si>
  <si>
    <t>Insurance</t>
  </si>
  <si>
    <t>Utilities</t>
  </si>
  <si>
    <t>Others / Month</t>
  </si>
  <si>
    <t>Management Fees</t>
  </si>
  <si>
    <t>Provision for Penalties</t>
  </si>
  <si>
    <t>Depriciation</t>
  </si>
  <si>
    <t>Year</t>
  </si>
  <si>
    <t>Buses</t>
  </si>
  <si>
    <t>Opening Cost</t>
  </si>
  <si>
    <t>Depreciation Charge</t>
  </si>
  <si>
    <t>Closing Balance</t>
  </si>
  <si>
    <t>Total</t>
  </si>
  <si>
    <t>Monthly</t>
  </si>
  <si>
    <t>Daily</t>
  </si>
  <si>
    <t>Subsidy</t>
  </si>
  <si>
    <t>Fare Revenue</t>
  </si>
  <si>
    <t xml:space="preserve">Total Revenue </t>
  </si>
  <si>
    <t>Cost of Sales</t>
  </si>
  <si>
    <t>Salaries</t>
  </si>
  <si>
    <t>Fuel</t>
  </si>
  <si>
    <t>Repairs &amp; Maintenance</t>
  </si>
  <si>
    <t>Depreciation</t>
  </si>
  <si>
    <t>Misc Exp</t>
  </si>
  <si>
    <t xml:space="preserve">Insurance </t>
  </si>
  <si>
    <t>Others</t>
  </si>
  <si>
    <t>Gross Profit</t>
  </si>
  <si>
    <t>Administrative Exp</t>
  </si>
  <si>
    <t>Operating Profit</t>
  </si>
  <si>
    <t>ROI</t>
  </si>
  <si>
    <t>Net Profit Before Tax</t>
  </si>
  <si>
    <t>Income Tax</t>
  </si>
  <si>
    <t>Net Profit After Tax</t>
  </si>
  <si>
    <t>Effective Tax Rate</t>
  </si>
  <si>
    <t>Profit Margin</t>
  </si>
  <si>
    <t>Profit Before Tax</t>
  </si>
  <si>
    <t>Lease Charges</t>
  </si>
  <si>
    <t>Tax</t>
  </si>
  <si>
    <t>Turnover Tax 4%</t>
  </si>
  <si>
    <t>Route 3 details</t>
  </si>
  <si>
    <t>No. of Chargers</t>
  </si>
  <si>
    <t>Total Charging Cost</t>
  </si>
  <si>
    <t>Daily Fare Collection (one Unit)</t>
  </si>
  <si>
    <t>Daily Fare Collection (All Units)</t>
  </si>
  <si>
    <t>Total Trips = All EVS</t>
  </si>
  <si>
    <t>Total Fare per day (Rs) 1 EV</t>
  </si>
  <si>
    <t>Passangers per day all Evs</t>
  </si>
  <si>
    <t>Passangers per day per EV</t>
  </si>
  <si>
    <t>Summary</t>
  </si>
  <si>
    <t>Outflow</t>
  </si>
  <si>
    <t>Inflows</t>
  </si>
  <si>
    <t>Net Profit</t>
  </si>
  <si>
    <t>Add back Depriciation</t>
  </si>
  <si>
    <t>RoI</t>
  </si>
  <si>
    <t>Total Inflow</t>
  </si>
  <si>
    <t>Net CF</t>
  </si>
  <si>
    <t>WACC</t>
  </si>
  <si>
    <t>Discount Factor</t>
  </si>
  <si>
    <t>DCF</t>
  </si>
  <si>
    <t>NPV</t>
  </si>
  <si>
    <t>IRR</t>
  </si>
  <si>
    <t>Repair &amp; Maintenance</t>
  </si>
  <si>
    <t>Cash Flow, NPV and IRR</t>
  </si>
  <si>
    <t>Insert value of Electric Vehicle at B38</t>
  </si>
  <si>
    <t>Insert value of Electric Charger at B39</t>
  </si>
  <si>
    <t>Insert Maintenance cost / KM at B49</t>
  </si>
  <si>
    <t>Insert Monthly Salary Amount for Driver at B53</t>
  </si>
  <si>
    <t>Insert Monthly Salary Amount for Staff at B62</t>
  </si>
  <si>
    <t>Insert Annual Value for other costs at C15</t>
  </si>
  <si>
    <t>Insert Annual Value for other costs at C22</t>
  </si>
  <si>
    <t>Insert ROI value in Cell B26</t>
  </si>
  <si>
    <t>Bidding Financial Model</t>
  </si>
  <si>
    <t>Note:</t>
  </si>
  <si>
    <t>Please fill in the cells highlighted in dark green with your estimates and assumptions in each sheet</t>
  </si>
  <si>
    <t>Red highlighted text contains critical information to fill the finanical model</t>
  </si>
  <si>
    <t>Red Highlighted Text</t>
  </si>
  <si>
    <r>
      <t xml:space="preserve">Any amendments made should be duly noted in the </t>
    </r>
    <r>
      <rPr>
        <b/>
        <i/>
        <sz val="11"/>
        <color theme="1"/>
        <rFont val="Aptos Narrow"/>
        <family val="2"/>
        <scheme val="minor"/>
      </rPr>
      <t xml:space="preserve">'Amendment Sheet' </t>
    </r>
    <r>
      <rPr>
        <i/>
        <sz val="11"/>
        <color theme="1"/>
        <rFont val="Aptos Narrow"/>
        <family val="2"/>
        <scheme val="minor"/>
      </rPr>
      <t>with due rationale</t>
    </r>
  </si>
  <si>
    <t>In case of discrepancy between this bidding financial model and RFP Financial Forms, the values of the RFP Finanical Forms will prevail.</t>
  </si>
  <si>
    <t>Electric Vehicles in CBD, Quetta (The Project)</t>
  </si>
  <si>
    <t xml:space="preserve">The Procuring Agencies intends to engage a private party on Public Private Partnership (PPP) mode to procure, operate and maintain a fleet of Thirty (30) EVs on a defined (03) routes in Central Business District, Quetta, (the “Project”). The Project is being undertaken via DBFOMT model and focuses on addressing the growing mobility and traffic congestion challenges in Quetta. In case of extension of routes, the concessionaire may be required to operate on additional routes with additional fleet/vehicles under the same contract as per Section 19A of the PPP Agreement. 
The concessionaire will be responsible to procure the 30 EVs / charging station and operate on the 03 routes in CBD. The Government of Balochistan will support the project and will be responsible to install 300 KW solar system with battery swapping station and installing EV (bus) stops (one time support with separate procurement under Balochistan Public Procurement Regulatory Authority Rules). There is no GoB (financial) support for the operations of the project as the project is evaluated to be financially/commercially viable.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</si>
</sst>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Rs-420]\ #,##0"/>
    <numFmt numFmtId="165" formatCode="0.0"/>
    <numFmt numFmtId="166" formatCode="_(* #,##0_);_(* \(#,##0\);_(* &quot;-&quot;??_);_(@_)"/>
    <numFmt numFmtId="167" formatCode="_(* #,##0.0%;_(* \(#,##0.0\)%;_(* &quot;   -&quot;?_)"/>
    <numFmt numFmtId="168" formatCode="_(* #,##0.0_);_(* \(#,##0.0\);_(* &quot;-&quot;??_);_(@_)"/>
  </numFmts>
  <fonts count="19" x14ac:knownFonts="1">
    <font>
      <sz val="11"/>
      <color theme="1"/>
      <name val="Aptos Narrow"/>
      <family val="2"/>
      <scheme val="minor"/>
    </font>
    <font>
      <sz val="11"/>
      <color theme="1"/>
      <name val="Aptos Narrow"/>
      <family val="2"/>
      <scheme val="minor"/>
    </font>
    <font>
      <b/>
      <sz val="11"/>
      <color theme="1"/>
      <name val="Aptos Narrow"/>
      <family val="2"/>
      <scheme val="minor"/>
    </font>
    <font>
      <b/>
      <sz val="11"/>
      <color theme="1"/>
      <name val="Arial"/>
      <family val="2"/>
    </font>
    <font>
      <sz val="11"/>
      <color theme="1"/>
      <name val="Arial"/>
      <family val="2"/>
    </font>
    <font>
      <i/>
      <sz val="11"/>
      <color theme="1"/>
      <name val="Arial"/>
      <family val="2"/>
    </font>
    <font>
      <sz val="11"/>
      <name val="Arial"/>
      <family val="2"/>
    </font>
    <font>
      <b/>
      <i/>
      <sz val="11"/>
      <color theme="1"/>
      <name val="Arial"/>
      <family val="2"/>
    </font>
    <font>
      <b/>
      <sz val="11"/>
      <color theme="1"/>
      <name val="Aptos Narrow"/>
      <family val="2"/>
      <scheme val="minor"/>
    </font>
    <font>
      <b/>
      <sz val="11"/>
      <name val="Arial"/>
      <family val="2"/>
    </font>
    <font>
      <b/>
      <i/>
      <sz val="11"/>
      <color theme="1"/>
      <name val="Aptos Narrow"/>
      <family val="2"/>
      <scheme val="minor"/>
    </font>
    <font>
      <sz val="11"/>
      <color rgb="FFFF0000"/>
      <name val="Aptos Narrow"/>
      <family val="2"/>
      <scheme val="minor"/>
    </font>
    <font>
      <sz val="11"/>
      <color rgb="FFFF0000"/>
      <name val="Arial"/>
      <family val="2"/>
    </font>
    <font>
      <b/>
      <i/>
      <sz val="11"/>
      <color rgb="FFFF0000"/>
      <name val="Arial"/>
      <family val="2"/>
    </font>
    <font>
      <b/>
      <i/>
      <sz val="11"/>
      <color rgb="FFFF0000"/>
      <name val="Aptos Narrow"/>
      <family val="2"/>
      <scheme val="minor"/>
    </font>
    <font>
      <b/>
      <sz val="22"/>
      <color theme="1"/>
      <name val="Aptos Narrow"/>
      <family val="2"/>
      <scheme val="minor"/>
    </font>
    <font>
      <sz val="22"/>
      <color theme="1"/>
      <name val="Aptos Narrow"/>
      <family val="2"/>
      <scheme val="minor"/>
    </font>
    <font>
      <b/>
      <sz val="16"/>
      <color theme="1"/>
      <name val="Aptos Narrow"/>
      <family val="2"/>
      <scheme val="minor"/>
    </font>
    <font>
      <i/>
      <sz val="11"/>
      <color theme="1"/>
      <name val="Aptos Narrow"/>
      <family val="2"/>
      <scheme val="minor"/>
    </font>
  </fonts>
  <fills count="6">
    <fill>
      <patternFill patternType="none"/>
    </fill>
    <fill>
      <patternFill patternType="gray125"/>
    </fill>
    <fill>
      <patternFill patternType="solid">
        <fgColor theme="3" tint="0.79998168889431442"/>
        <bgColor indexed="64"/>
      </patternFill>
    </fill>
    <fill>
      <patternFill patternType="solid">
        <fgColor theme="3" tint="0.749992370372631"/>
        <bgColor indexed="64"/>
      </patternFill>
    </fill>
    <fill>
      <patternFill patternType="solid">
        <fgColor rgb="FFFFFF00"/>
        <bgColor indexed="64"/>
      </patternFill>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
      <left/>
      <right/>
      <top/>
      <bottom style="thin">
        <color indexed="64"/>
      </bottom>
      <diagonal/>
    </border>
    <border>
      <left/>
      <right/>
      <top style="thin">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89">
    <xf numFmtId="0" fontId="0" fillId="0" borderId="0" xfId="0"/>
    <xf numFmtId="0" fontId="2" fillId="0" borderId="0" xfId="0" applyFont="1" applyAlignment="1">
      <alignment horizontal="center"/>
    </xf>
    <xf numFmtId="0" fontId="2" fillId="0" borderId="0" xfId="1" applyNumberFormat="1" applyFont="1" applyAlignment="1">
      <alignment horizontal="center"/>
    </xf>
    <xf numFmtId="166" fontId="0" fillId="0" borderId="1" xfId="1" applyNumberFormat="1" applyFont="1" applyBorder="1"/>
    <xf numFmtId="166" fontId="0" fillId="0" borderId="2" xfId="1" applyNumberFormat="1" applyFont="1" applyBorder="1"/>
    <xf numFmtId="166" fontId="0" fillId="0" borderId="0" xfId="1" applyNumberFormat="1" applyFont="1"/>
    <xf numFmtId="166" fontId="0" fillId="0" borderId="4" xfId="1" applyNumberFormat="1" applyFont="1" applyBorder="1"/>
    <xf numFmtId="166" fontId="0" fillId="0" borderId="4" xfId="1" applyNumberFormat="1" applyFont="1" applyFill="1" applyBorder="1"/>
    <xf numFmtId="166" fontId="0" fillId="2" borderId="4" xfId="1" applyNumberFormat="1" applyFont="1" applyFill="1" applyBorder="1"/>
    <xf numFmtId="166" fontId="0" fillId="0" borderId="5" xfId="1" applyNumberFormat="1" applyFont="1" applyBorder="1"/>
    <xf numFmtId="166" fontId="0" fillId="0" borderId="6" xfId="1" applyNumberFormat="1" applyFont="1" applyBorder="1"/>
    <xf numFmtId="167" fontId="0" fillId="0" borderId="0" xfId="0" applyNumberFormat="1"/>
    <xf numFmtId="10" fontId="0" fillId="0" borderId="0" xfId="2" applyNumberFormat="1" applyFont="1"/>
    <xf numFmtId="43" fontId="0" fillId="0" borderId="0" xfId="1" applyFont="1"/>
    <xf numFmtId="166" fontId="0" fillId="0" borderId="7" xfId="1" applyNumberFormat="1" applyFont="1" applyBorder="1"/>
    <xf numFmtId="0" fontId="2" fillId="3" borderId="0" xfId="0" applyFont="1" applyFill="1"/>
    <xf numFmtId="166" fontId="2" fillId="3" borderId="0" xfId="0" applyNumberFormat="1" applyFont="1" applyFill="1"/>
    <xf numFmtId="166" fontId="2" fillId="3" borderId="3" xfId="1" applyNumberFormat="1" applyFont="1" applyFill="1" applyBorder="1"/>
    <xf numFmtId="166" fontId="2" fillId="3" borderId="0" xfId="1" applyNumberFormat="1" applyFont="1" applyFill="1"/>
    <xf numFmtId="166" fontId="2" fillId="3" borderId="7" xfId="1" applyNumberFormat="1" applyFont="1" applyFill="1" applyBorder="1"/>
    <xf numFmtId="0" fontId="4" fillId="0" borderId="0" xfId="0" applyFont="1"/>
    <xf numFmtId="165" fontId="4" fillId="0" borderId="0" xfId="0" applyNumberFormat="1" applyFont="1" applyAlignment="1">
      <alignment horizontal="right"/>
    </xf>
    <xf numFmtId="168" fontId="4" fillId="0" borderId="0" xfId="1" applyNumberFormat="1" applyFont="1" applyAlignment="1">
      <alignment horizontal="right"/>
    </xf>
    <xf numFmtId="0" fontId="4" fillId="0" borderId="0" xfId="0" applyFont="1" applyAlignment="1">
      <alignment horizontal="right"/>
    </xf>
    <xf numFmtId="168" fontId="4" fillId="0" borderId="0" xfId="1" applyNumberFormat="1" applyFont="1"/>
    <xf numFmtId="164" fontId="4" fillId="0" borderId="0" xfId="0" applyNumberFormat="1" applyFont="1"/>
    <xf numFmtId="9" fontId="4" fillId="0" borderId="0" xfId="2" applyFont="1"/>
    <xf numFmtId="0" fontId="3" fillId="3" borderId="0" xfId="0" applyFont="1" applyFill="1"/>
    <xf numFmtId="9" fontId="4" fillId="0" borderId="0" xfId="0" applyNumberFormat="1" applyFont="1"/>
    <xf numFmtId="0" fontId="3" fillId="0" borderId="0" xfId="0" applyFont="1"/>
    <xf numFmtId="0" fontId="4" fillId="0" borderId="0" xfId="0" applyFont="1" applyAlignment="1">
      <alignment horizontal="left" indent="1"/>
    </xf>
    <xf numFmtId="166" fontId="4" fillId="0" borderId="0" xfId="1" applyNumberFormat="1" applyFont="1"/>
    <xf numFmtId="0" fontId="5" fillId="0" borderId="0" xfId="0" applyFont="1" applyAlignment="1">
      <alignment horizontal="left" indent="2"/>
    </xf>
    <xf numFmtId="0" fontId="3" fillId="0" borderId="6" xfId="0" applyFont="1" applyBorder="1"/>
    <xf numFmtId="0" fontId="3" fillId="0" borderId="6" xfId="2" applyNumberFormat="1" applyFont="1" applyBorder="1" applyAlignment="1">
      <alignment horizontal="right"/>
    </xf>
    <xf numFmtId="1" fontId="4" fillId="0" borderId="0" xfId="2" applyNumberFormat="1" applyFont="1" applyAlignment="1">
      <alignment horizontal="right"/>
    </xf>
    <xf numFmtId="0" fontId="7" fillId="0" borderId="0" xfId="0" applyFont="1"/>
    <xf numFmtId="168" fontId="7" fillId="0" borderId="0" xfId="1" applyNumberFormat="1" applyFont="1"/>
    <xf numFmtId="168" fontId="4" fillId="0" borderId="0" xfId="1" applyNumberFormat="1" applyFont="1" applyFill="1"/>
    <xf numFmtId="0" fontId="5" fillId="0" borderId="0" xfId="0" applyFont="1"/>
    <xf numFmtId="168" fontId="5" fillId="0" borderId="0" xfId="1" applyNumberFormat="1" applyFont="1"/>
    <xf numFmtId="0" fontId="8" fillId="0" borderId="0" xfId="0" applyFont="1"/>
    <xf numFmtId="166" fontId="6" fillId="0" borderId="0" xfId="1" applyNumberFormat="1" applyFont="1" applyFill="1" applyAlignment="1">
      <alignment horizontal="right"/>
    </xf>
    <xf numFmtId="166" fontId="9" fillId="0" borderId="0" xfId="1" applyNumberFormat="1" applyFont="1" applyAlignment="1">
      <alignment horizontal="right"/>
    </xf>
    <xf numFmtId="166" fontId="3" fillId="0" borderId="0" xfId="1" applyNumberFormat="1" applyFont="1"/>
    <xf numFmtId="166" fontId="6" fillId="0" borderId="6" xfId="1" applyNumberFormat="1" applyFont="1" applyBorder="1" applyAlignment="1">
      <alignment horizontal="right"/>
    </xf>
    <xf numFmtId="166" fontId="4" fillId="0" borderId="6" xfId="1" applyNumberFormat="1" applyFont="1" applyBorder="1"/>
    <xf numFmtId="166" fontId="6" fillId="0" borderId="0" xfId="1" applyNumberFormat="1" applyFont="1"/>
    <xf numFmtId="9" fontId="0" fillId="0" borderId="0" xfId="2" applyFont="1"/>
    <xf numFmtId="168" fontId="3" fillId="0" borderId="0" xfId="1" applyNumberFormat="1" applyFont="1"/>
    <xf numFmtId="0" fontId="10" fillId="0" borderId="0" xfId="0" applyFont="1"/>
    <xf numFmtId="166" fontId="8" fillId="0" borderId="3" xfId="1" applyNumberFormat="1" applyFont="1" applyBorder="1"/>
    <xf numFmtId="0" fontId="8" fillId="0" borderId="8" xfId="0" applyFont="1" applyBorder="1"/>
    <xf numFmtId="0" fontId="0" fillId="0" borderId="9" xfId="0" applyBorder="1"/>
    <xf numFmtId="0" fontId="0" fillId="0" borderId="10" xfId="0" applyBorder="1"/>
    <xf numFmtId="0" fontId="8" fillId="0" borderId="11" xfId="0" applyFont="1" applyBorder="1"/>
    <xf numFmtId="0" fontId="0" fillId="0" borderId="12" xfId="0" applyBorder="1"/>
    <xf numFmtId="0" fontId="10" fillId="0" borderId="11" xfId="0" applyFont="1" applyBorder="1"/>
    <xf numFmtId="0" fontId="10" fillId="0" borderId="12" xfId="0" applyFont="1" applyBorder="1"/>
    <xf numFmtId="0" fontId="0" fillId="0" borderId="11" xfId="0" applyBorder="1"/>
    <xf numFmtId="9" fontId="8" fillId="0" borderId="0" xfId="0" applyNumberFormat="1" applyFont="1"/>
    <xf numFmtId="166" fontId="0" fillId="0" borderId="0" xfId="1" applyNumberFormat="1" applyFont="1" applyBorder="1"/>
    <xf numFmtId="166" fontId="0" fillId="0" borderId="12" xfId="1" applyNumberFormat="1" applyFont="1" applyBorder="1"/>
    <xf numFmtId="166" fontId="8" fillId="0" borderId="13" xfId="1" applyNumberFormat="1" applyFont="1" applyBorder="1"/>
    <xf numFmtId="43" fontId="0" fillId="0" borderId="0" xfId="1" applyFont="1" applyBorder="1"/>
    <xf numFmtId="43" fontId="0" fillId="0" borderId="12" xfId="1" applyFont="1" applyBorder="1"/>
    <xf numFmtId="166" fontId="0" fillId="0" borderId="0" xfId="0" applyNumberFormat="1"/>
    <xf numFmtId="0" fontId="0" fillId="0" borderId="14" xfId="0" applyBorder="1"/>
    <xf numFmtId="0" fontId="0" fillId="0" borderId="15" xfId="0" applyBorder="1"/>
    <xf numFmtId="9" fontId="0" fillId="0" borderId="15" xfId="0" applyNumberFormat="1" applyBorder="1"/>
    <xf numFmtId="0" fontId="0" fillId="0" borderId="16" xfId="0" applyBorder="1"/>
    <xf numFmtId="0" fontId="3" fillId="3" borderId="0" xfId="0" applyFont="1" applyFill="1" applyAlignment="1">
      <alignment horizontal="center"/>
    </xf>
    <xf numFmtId="0" fontId="13" fillId="0" borderId="0" xfId="0" applyFont="1"/>
    <xf numFmtId="0" fontId="2" fillId="0" borderId="0" xfId="0" applyFont="1"/>
    <xf numFmtId="0" fontId="14" fillId="0" borderId="0" xfId="0" applyFont="1"/>
    <xf numFmtId="0" fontId="14" fillId="0" borderId="0" xfId="0" applyFont="1" applyAlignment="1">
      <alignment horizontal="center" vertical="center" wrapText="1"/>
    </xf>
    <xf numFmtId="0" fontId="15" fillId="5" borderId="0" xfId="0" applyFont="1" applyFill="1"/>
    <xf numFmtId="0" fontId="16" fillId="5" borderId="0" xfId="0" applyFont="1" applyFill="1"/>
    <xf numFmtId="0" fontId="0" fillId="5" borderId="0" xfId="0" applyFill="1"/>
    <xf numFmtId="0" fontId="17" fillId="0" borderId="0" xfId="0" applyFont="1"/>
    <xf numFmtId="0" fontId="18" fillId="0" borderId="0" xfId="0" applyFont="1"/>
    <xf numFmtId="0" fontId="11" fillId="0" borderId="0" xfId="0" applyFont="1"/>
    <xf numFmtId="0" fontId="2" fillId="0" borderId="0" xfId="0" applyFont="1" applyAlignment="1">
      <alignment horizontal="left" wrapText="1"/>
    </xf>
    <xf numFmtId="0" fontId="0" fillId="4" borderId="0" xfId="0" applyFill="1"/>
    <xf numFmtId="166" fontId="12" fillId="4" borderId="0" xfId="1" applyNumberFormat="1" applyFont="1" applyFill="1"/>
    <xf numFmtId="168" fontId="12" fillId="4" borderId="0" xfId="1" applyNumberFormat="1" applyFont="1" applyFill="1"/>
    <xf numFmtId="166" fontId="11" fillId="4" borderId="2" xfId="1" applyNumberFormat="1" applyFont="1" applyFill="1" applyBorder="1"/>
    <xf numFmtId="0" fontId="14" fillId="4" borderId="0" xfId="0" applyFont="1" applyFill="1"/>
    <xf numFmtId="9" fontId="14" fillId="4" borderId="0" xfId="0" applyNumberFormat="1" applyFont="1" applyFill="1"/>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HP\Downloads\EV%20BPPPA%20(1).xlsx" TargetMode="External"/><Relationship Id="rId1" Type="http://schemas.openxmlformats.org/officeDocument/2006/relationships/externalLinkPath" Target="file:///C:\Users\HP\Downloads\EV%20BPPPA%20(1).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HP\Downloads\Quetta%20Shuttle%20FVer.xlsx" TargetMode="External"/><Relationship Id="rId1" Type="http://schemas.openxmlformats.org/officeDocument/2006/relationships/externalLinkPath" Target="file:///C:\Users\HP\Downloads\Quetta%20Shuttle%20FV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 val="Cash Flow"/>
    </sheetNames>
    <sheetDataSet>
      <sheetData sheetId="0">
        <row r="8">
          <cell r="E8">
            <v>5</v>
          </cell>
        </row>
        <row r="9">
          <cell r="E9">
            <v>5</v>
          </cell>
        </row>
        <row r="30">
          <cell r="B30">
            <v>7.0000000000000007E-2</v>
          </cell>
        </row>
        <row r="46">
          <cell r="B46">
            <v>0.05</v>
          </cell>
        </row>
        <row r="48">
          <cell r="B48">
            <v>7.0000000000000007E-2</v>
          </cell>
        </row>
        <row r="57">
          <cell r="B57">
            <v>7.0000000000000007E-2</v>
          </cell>
        </row>
        <row r="60">
          <cell r="B60">
            <v>5.0000000000000001E-3</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shboard"/>
      <sheetName val="P&amp;L"/>
      <sheetName val="Leasing"/>
    </sheetNames>
    <sheetDataSet>
      <sheetData sheetId="0"/>
      <sheetData sheetId="1">
        <row r="4">
          <cell r="C4">
            <v>43200000</v>
          </cell>
          <cell r="F4">
            <v>46224000</v>
          </cell>
          <cell r="G4">
            <v>49459680</v>
          </cell>
          <cell r="H4">
            <v>52921857.600000001</v>
          </cell>
          <cell r="I4">
            <v>56626387.632000007</v>
          </cell>
          <cell r="J4">
            <v>60590234.766240008</v>
          </cell>
          <cell r="K4">
            <v>64831551.199876815</v>
          </cell>
        </row>
      </sheetData>
      <sheetData sheetId="2">
        <row r="4">
          <cell r="E4">
            <v>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7A8BB-FD94-4CC4-A0FD-A9DD35C29D45}">
  <dimension ref="A1:G13"/>
  <sheetViews>
    <sheetView workbookViewId="0">
      <selection activeCell="A8" sqref="A8"/>
    </sheetView>
  </sheetViews>
  <sheetFormatPr defaultRowHeight="14.5" x14ac:dyDescent="0.35"/>
  <cols>
    <col min="1" max="1" width="110.36328125" bestFit="1" customWidth="1"/>
    <col min="2" max="2" width="17.26953125" bestFit="1" customWidth="1"/>
  </cols>
  <sheetData>
    <row r="1" spans="1:7" ht="28.5" x14ac:dyDescent="0.65">
      <c r="A1" s="76" t="s">
        <v>124</v>
      </c>
      <c r="B1" s="76"/>
      <c r="C1" s="77"/>
      <c r="D1" s="77"/>
      <c r="E1" s="78"/>
      <c r="F1" s="78"/>
      <c r="G1" s="78"/>
    </row>
    <row r="2" spans="1:7" ht="21" x14ac:dyDescent="0.5">
      <c r="A2" s="79" t="s">
        <v>117</v>
      </c>
    </row>
    <row r="4" spans="1:7" x14ac:dyDescent="0.35">
      <c r="A4" s="82" t="s">
        <v>125</v>
      </c>
      <c r="B4" s="82"/>
      <c r="C4" s="82"/>
      <c r="D4" s="82"/>
      <c r="E4" s="82"/>
      <c r="F4" s="82"/>
      <c r="G4" s="82"/>
    </row>
    <row r="5" spans="1:7" x14ac:dyDescent="0.35">
      <c r="A5" s="82"/>
      <c r="B5" s="82"/>
      <c r="C5" s="82"/>
      <c r="D5" s="82"/>
      <c r="E5" s="82"/>
      <c r="F5" s="82"/>
      <c r="G5" s="82"/>
    </row>
    <row r="6" spans="1:7" x14ac:dyDescent="0.35">
      <c r="A6" s="82"/>
      <c r="B6" s="82"/>
      <c r="C6" s="82"/>
      <c r="D6" s="82"/>
      <c r="E6" s="82"/>
      <c r="F6" s="82"/>
      <c r="G6" s="82"/>
    </row>
    <row r="7" spans="1:7" ht="75" customHeight="1" x14ac:dyDescent="0.35">
      <c r="A7" s="82"/>
      <c r="B7" s="82"/>
      <c r="C7" s="82"/>
      <c r="D7" s="82"/>
      <c r="E7" s="82"/>
      <c r="F7" s="82"/>
      <c r="G7" s="82"/>
    </row>
    <row r="9" spans="1:7" x14ac:dyDescent="0.35">
      <c r="A9" s="73" t="s">
        <v>118</v>
      </c>
    </row>
    <row r="10" spans="1:7" x14ac:dyDescent="0.35">
      <c r="A10" s="80" t="s">
        <v>119</v>
      </c>
      <c r="B10" s="83"/>
    </row>
    <row r="11" spans="1:7" x14ac:dyDescent="0.35">
      <c r="A11" t="s">
        <v>120</v>
      </c>
      <c r="B11" s="81" t="s">
        <v>121</v>
      </c>
    </row>
    <row r="12" spans="1:7" x14ac:dyDescent="0.35">
      <c r="A12" s="80" t="s">
        <v>122</v>
      </c>
    </row>
    <row r="13" spans="1:7" x14ac:dyDescent="0.35">
      <c r="A13" t="s">
        <v>123</v>
      </c>
    </row>
  </sheetData>
  <mergeCells count="1">
    <mergeCell ref="A4:G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E84F9-9F62-4789-B588-D91096CF00CE}">
  <dimension ref="A1"/>
  <sheetViews>
    <sheetView workbookViewId="0">
      <selection activeCell="C24" sqref="C24"/>
    </sheetView>
  </sheetViews>
  <sheetFormatPr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A2A5A-70F8-4A4A-AFC8-A43793F57DB9}">
  <sheetPr>
    <pageSetUpPr fitToPage="1"/>
  </sheetPr>
  <dimension ref="A1:H77"/>
  <sheetViews>
    <sheetView topLeftCell="A31" zoomScale="75" zoomScaleNormal="60" workbookViewId="0">
      <selection activeCell="B38" sqref="B38:B39"/>
    </sheetView>
  </sheetViews>
  <sheetFormatPr defaultColWidth="8.54296875" defaultRowHeight="14" x14ac:dyDescent="0.3"/>
  <cols>
    <col min="1" max="1" width="26.453125" style="20" bestFit="1" customWidth="1"/>
    <col min="2" max="2" width="26.453125" style="20" customWidth="1"/>
    <col min="3" max="3" width="47.26953125" style="20" bestFit="1" customWidth="1"/>
    <col min="4" max="4" width="26.453125" style="20" bestFit="1" customWidth="1"/>
    <col min="5" max="6" width="20.54296875" style="20" customWidth="1"/>
    <col min="7" max="7" width="26.453125" style="20" bestFit="1" customWidth="1"/>
    <col min="8" max="8" width="20.54296875" style="20" customWidth="1"/>
    <col min="9" max="16384" width="8.54296875" style="20"/>
  </cols>
  <sheetData>
    <row r="1" spans="1:8" x14ac:dyDescent="0.3">
      <c r="A1" s="71" t="s">
        <v>0</v>
      </c>
      <c r="B1" s="71"/>
      <c r="D1" s="71" t="s">
        <v>1</v>
      </c>
      <c r="E1" s="71"/>
      <c r="G1" s="71" t="s">
        <v>85</v>
      </c>
      <c r="H1" s="71"/>
    </row>
    <row r="2" spans="1:8" x14ac:dyDescent="0.3">
      <c r="A2" s="20" t="s">
        <v>2</v>
      </c>
      <c r="B2" s="21">
        <v>2.9</v>
      </c>
      <c r="D2" s="20" t="s">
        <v>2</v>
      </c>
      <c r="E2" s="22">
        <v>4.5</v>
      </c>
      <c r="G2" s="20" t="s">
        <v>2</v>
      </c>
      <c r="H2" s="22">
        <v>4</v>
      </c>
    </row>
    <row r="3" spans="1:8" x14ac:dyDescent="0.3">
      <c r="A3" s="20" t="s">
        <v>3</v>
      </c>
      <c r="B3" s="21">
        <v>12</v>
      </c>
      <c r="D3" s="20" t="s">
        <v>3</v>
      </c>
      <c r="E3" s="22">
        <v>18</v>
      </c>
      <c r="G3" s="20" t="s">
        <v>3</v>
      </c>
      <c r="H3" s="22">
        <v>18</v>
      </c>
    </row>
    <row r="4" spans="1:8" x14ac:dyDescent="0.3">
      <c r="A4" s="20" t="s">
        <v>4</v>
      </c>
      <c r="B4" s="21">
        <v>15</v>
      </c>
      <c r="D4" s="20" t="s">
        <v>4</v>
      </c>
      <c r="E4" s="22">
        <v>15</v>
      </c>
      <c r="G4" s="20" t="s">
        <v>4</v>
      </c>
      <c r="H4" s="22">
        <v>15</v>
      </c>
    </row>
    <row r="5" spans="1:8" x14ac:dyDescent="0.3">
      <c r="B5" s="23"/>
      <c r="E5" s="23"/>
      <c r="H5" s="23"/>
    </row>
    <row r="6" spans="1:8" x14ac:dyDescent="0.3">
      <c r="A6" s="71" t="s">
        <v>5</v>
      </c>
      <c r="B6" s="71"/>
      <c r="D6" s="71" t="s">
        <v>5</v>
      </c>
      <c r="E6" s="71"/>
      <c r="G6" s="71" t="s">
        <v>5</v>
      </c>
      <c r="H6" s="71"/>
    </row>
    <row r="7" spans="1:8" x14ac:dyDescent="0.3">
      <c r="A7" s="20" t="s">
        <v>6</v>
      </c>
      <c r="B7" s="22">
        <f>B2/B4*60</f>
        <v>11.6</v>
      </c>
      <c r="D7" s="20" t="s">
        <v>6</v>
      </c>
      <c r="E7" s="22">
        <f>E2/E4*60</f>
        <v>18</v>
      </c>
      <c r="G7" s="20" t="s">
        <v>6</v>
      </c>
      <c r="H7" s="22">
        <f>H2/H4*60</f>
        <v>16</v>
      </c>
    </row>
    <row r="8" spans="1:8" x14ac:dyDescent="0.3">
      <c r="A8" s="20" t="s">
        <v>7</v>
      </c>
      <c r="B8" s="22">
        <v>5</v>
      </c>
      <c r="D8" s="20" t="s">
        <v>7</v>
      </c>
      <c r="E8" s="22">
        <v>5</v>
      </c>
      <c r="G8" s="20" t="s">
        <v>7</v>
      </c>
      <c r="H8" s="22">
        <v>5</v>
      </c>
    </row>
    <row r="9" spans="1:8" x14ac:dyDescent="0.3">
      <c r="A9" s="20" t="s">
        <v>8</v>
      </c>
      <c r="B9" s="22">
        <v>5</v>
      </c>
      <c r="D9" s="20" t="s">
        <v>8</v>
      </c>
      <c r="E9" s="22">
        <v>5</v>
      </c>
      <c r="G9" s="20" t="s">
        <v>8</v>
      </c>
      <c r="H9" s="22">
        <v>5</v>
      </c>
    </row>
    <row r="10" spans="1:8" x14ac:dyDescent="0.3">
      <c r="A10" s="20" t="s">
        <v>9</v>
      </c>
      <c r="B10" s="22">
        <f>B7+B9</f>
        <v>16.600000000000001</v>
      </c>
      <c r="D10" s="20" t="s">
        <v>9</v>
      </c>
      <c r="E10" s="22">
        <f>E7+E9</f>
        <v>23</v>
      </c>
      <c r="G10" s="20" t="s">
        <v>9</v>
      </c>
      <c r="H10" s="22">
        <f>H7+H9</f>
        <v>21</v>
      </c>
    </row>
    <row r="11" spans="1:8" x14ac:dyDescent="0.3">
      <c r="A11" s="20" t="s">
        <v>10</v>
      </c>
      <c r="B11" s="22">
        <v>720</v>
      </c>
      <c r="D11" s="20" t="s">
        <v>10</v>
      </c>
      <c r="E11" s="22">
        <v>720</v>
      </c>
      <c r="G11" s="20" t="s">
        <v>10</v>
      </c>
      <c r="H11" s="22">
        <v>720</v>
      </c>
    </row>
    <row r="12" spans="1:8" x14ac:dyDescent="0.3">
      <c r="A12" s="20" t="s">
        <v>11</v>
      </c>
      <c r="B12" s="24">
        <f>B11/B10</f>
        <v>43.373493975903614</v>
      </c>
      <c r="D12" s="20" t="s">
        <v>11</v>
      </c>
      <c r="E12" s="24">
        <f>E11/E10</f>
        <v>31.304347826086957</v>
      </c>
      <c r="G12" s="20" t="s">
        <v>11</v>
      </c>
      <c r="H12" s="24">
        <f>H11/H10</f>
        <v>34.285714285714285</v>
      </c>
    </row>
    <row r="13" spans="1:8" x14ac:dyDescent="0.3">
      <c r="A13" s="29" t="s">
        <v>90</v>
      </c>
      <c r="B13" s="49">
        <f>B14*B12</f>
        <v>260.24096385542168</v>
      </c>
      <c r="C13" s="29"/>
      <c r="D13" s="29" t="s">
        <v>90</v>
      </c>
      <c r="E13" s="49">
        <f>E14*E12</f>
        <v>313.04347826086956</v>
      </c>
      <c r="F13" s="29"/>
      <c r="G13" s="29" t="s">
        <v>90</v>
      </c>
      <c r="H13" s="49">
        <f>H14*H12</f>
        <v>274.28571428571428</v>
      </c>
    </row>
    <row r="14" spans="1:8" ht="14.5" x14ac:dyDescent="0.35">
      <c r="A14" s="39" t="s">
        <v>12</v>
      </c>
      <c r="B14" s="40">
        <f>ROUND(B10/B8,0)*2</f>
        <v>6</v>
      </c>
      <c r="C14" s="39"/>
      <c r="D14" s="39" t="s">
        <v>12</v>
      </c>
      <c r="E14" s="40">
        <f>ROUND(E10/E8,0)*2</f>
        <v>10</v>
      </c>
      <c r="F14" s="39"/>
      <c r="G14" s="39" t="s">
        <v>12</v>
      </c>
      <c r="H14" s="40">
        <f>ROUND(H10/H8,0)*2</f>
        <v>8</v>
      </c>
    </row>
    <row r="15" spans="1:8" s="36" customFormat="1" x14ac:dyDescent="0.3">
      <c r="A15" s="36" t="s">
        <v>13</v>
      </c>
      <c r="B15" s="37">
        <f>B2*B12*B14</f>
        <v>754.69879518072287</v>
      </c>
      <c r="D15" s="36" t="s">
        <v>13</v>
      </c>
      <c r="E15" s="37">
        <f>E2*E12*E14</f>
        <v>1408.695652173913</v>
      </c>
      <c r="G15" s="36" t="s">
        <v>13</v>
      </c>
      <c r="H15" s="37">
        <f>H2*H12*H14</f>
        <v>1097.1428571428571</v>
      </c>
    </row>
    <row r="16" spans="1:8" x14ac:dyDescent="0.3">
      <c r="A16" s="20" t="s">
        <v>14</v>
      </c>
      <c r="B16" s="24">
        <f>(10+(10*0.2*(B3-1)))</f>
        <v>32</v>
      </c>
      <c r="D16" s="20" t="s">
        <v>14</v>
      </c>
      <c r="E16" s="24">
        <f>(10+(10*0.2*(E3-1)))</f>
        <v>44</v>
      </c>
      <c r="G16" s="20" t="s">
        <v>14</v>
      </c>
      <c r="H16" s="24">
        <f>(10+(10*0.2*(H3-1)))</f>
        <v>44</v>
      </c>
    </row>
    <row r="17" spans="1:8" x14ac:dyDescent="0.3">
      <c r="A17" s="20" t="s">
        <v>93</v>
      </c>
      <c r="B17" s="24">
        <f>B16*B12</f>
        <v>1387.9518072289156</v>
      </c>
      <c r="D17" s="20" t="s">
        <v>93</v>
      </c>
      <c r="E17" s="24">
        <f>E16*E12</f>
        <v>1377.391304347826</v>
      </c>
      <c r="G17" s="20" t="s">
        <v>93</v>
      </c>
      <c r="H17" s="24">
        <f>H16*H12</f>
        <v>1508.5714285714284</v>
      </c>
    </row>
    <row r="18" spans="1:8" x14ac:dyDescent="0.3">
      <c r="A18" s="20" t="s">
        <v>92</v>
      </c>
      <c r="B18" s="24">
        <f>B17*B14</f>
        <v>8327.7108433734938</v>
      </c>
      <c r="D18" s="20" t="s">
        <v>92</v>
      </c>
      <c r="E18" s="24">
        <f>E17*E14</f>
        <v>13773.91304347826</v>
      </c>
      <c r="G18" s="20" t="s">
        <v>92</v>
      </c>
      <c r="H18" s="24">
        <f>H17*H14</f>
        <v>12068.571428571428</v>
      </c>
    </row>
    <row r="19" spans="1:8" x14ac:dyDescent="0.3">
      <c r="A19" s="20" t="s">
        <v>15</v>
      </c>
      <c r="B19" s="24">
        <v>20</v>
      </c>
      <c r="D19" s="20" t="s">
        <v>15</v>
      </c>
      <c r="E19" s="24">
        <f>B19</f>
        <v>20</v>
      </c>
      <c r="G19" s="20" t="s">
        <v>15</v>
      </c>
      <c r="H19" s="24">
        <f>E19</f>
        <v>20</v>
      </c>
    </row>
    <row r="20" spans="1:8" x14ac:dyDescent="0.3">
      <c r="A20" s="20" t="s">
        <v>91</v>
      </c>
      <c r="B20" s="25">
        <f>B17*B19</f>
        <v>27759.036144578313</v>
      </c>
      <c r="D20" s="20" t="s">
        <v>91</v>
      </c>
      <c r="E20" s="25">
        <f>E17*E19</f>
        <v>27547.82608695652</v>
      </c>
      <c r="G20" s="20" t="s">
        <v>91</v>
      </c>
      <c r="H20" s="25">
        <f>H17*H19</f>
        <v>30171.428571428569</v>
      </c>
    </row>
    <row r="22" spans="1:8" x14ac:dyDescent="0.3">
      <c r="A22" s="27" t="s">
        <v>94</v>
      </c>
    </row>
    <row r="23" spans="1:8" x14ac:dyDescent="0.3">
      <c r="A23" s="20" t="s">
        <v>16</v>
      </c>
      <c r="B23" s="38">
        <f>B14+E14+H14</f>
        <v>24</v>
      </c>
    </row>
    <row r="24" spans="1:8" x14ac:dyDescent="0.3">
      <c r="A24" s="20" t="s">
        <v>17</v>
      </c>
      <c r="B24" s="24">
        <f>B2+E2+H2</f>
        <v>11.4</v>
      </c>
    </row>
    <row r="25" spans="1:8" x14ac:dyDescent="0.3">
      <c r="A25" s="20" t="s">
        <v>18</v>
      </c>
      <c r="B25" s="24">
        <f>(B12*B14)+(E12*E14)+(H12*H14)</f>
        <v>847.57015640200552</v>
      </c>
    </row>
    <row r="26" spans="1:8" x14ac:dyDescent="0.3">
      <c r="A26" s="20" t="s">
        <v>19</v>
      </c>
      <c r="B26" s="24">
        <f>B15+E15+H15</f>
        <v>3260.5373044974931</v>
      </c>
    </row>
    <row r="27" spans="1:8" x14ac:dyDescent="0.3">
      <c r="A27" s="20" t="s">
        <v>20</v>
      </c>
      <c r="B27" s="24">
        <f>B18+E18+H18</f>
        <v>34170.195315423181</v>
      </c>
    </row>
    <row r="28" spans="1:8" x14ac:dyDescent="0.3">
      <c r="A28" s="20" t="s">
        <v>21</v>
      </c>
      <c r="B28" s="26">
        <v>0.45</v>
      </c>
    </row>
    <row r="29" spans="1:8" x14ac:dyDescent="0.3">
      <c r="A29" s="20" t="s">
        <v>22</v>
      </c>
      <c r="B29" s="47">
        <f>B27*B28</f>
        <v>15376.587891940431</v>
      </c>
    </row>
    <row r="30" spans="1:8" x14ac:dyDescent="0.3">
      <c r="A30" s="20" t="s">
        <v>88</v>
      </c>
      <c r="B30" s="25">
        <f>B29*B19</f>
        <v>307531.75783880864</v>
      </c>
    </row>
    <row r="31" spans="1:8" x14ac:dyDescent="0.3">
      <c r="A31" s="20" t="s">
        <v>89</v>
      </c>
      <c r="B31" s="25"/>
    </row>
    <row r="32" spans="1:8" x14ac:dyDescent="0.3">
      <c r="A32" s="20" t="s">
        <v>23</v>
      </c>
      <c r="B32" s="25">
        <f>B30*30</f>
        <v>9225952.7351642586</v>
      </c>
    </row>
    <row r="33" spans="1:3" x14ac:dyDescent="0.3">
      <c r="A33" s="20" t="s">
        <v>24</v>
      </c>
      <c r="B33" s="25">
        <f>B32*12</f>
        <v>110711432.8219711</v>
      </c>
    </row>
    <row r="34" spans="1:3" x14ac:dyDescent="0.3">
      <c r="A34" s="20" t="s">
        <v>25</v>
      </c>
      <c r="B34" s="26">
        <v>7.0000000000000007E-2</v>
      </c>
    </row>
    <row r="36" spans="1:3" x14ac:dyDescent="0.3">
      <c r="A36" s="27" t="s">
        <v>26</v>
      </c>
    </row>
    <row r="37" spans="1:3" x14ac:dyDescent="0.3">
      <c r="A37" s="20" t="s">
        <v>27</v>
      </c>
      <c r="B37" s="24">
        <v>30</v>
      </c>
    </row>
    <row r="38" spans="1:3" x14ac:dyDescent="0.3">
      <c r="A38" s="20" t="s">
        <v>28</v>
      </c>
      <c r="B38" s="85"/>
      <c r="C38" s="72" t="s">
        <v>109</v>
      </c>
    </row>
    <row r="39" spans="1:3" x14ac:dyDescent="0.3">
      <c r="A39" s="20" t="s">
        <v>29</v>
      </c>
      <c r="B39" s="85"/>
      <c r="C39" s="72" t="s">
        <v>110</v>
      </c>
    </row>
    <row r="40" spans="1:3" x14ac:dyDescent="0.3">
      <c r="A40" s="20" t="s">
        <v>86</v>
      </c>
      <c r="B40" s="24">
        <v>4</v>
      </c>
    </row>
    <row r="41" spans="1:3" x14ac:dyDescent="0.3">
      <c r="A41" s="20" t="s">
        <v>87</v>
      </c>
      <c r="B41" s="24">
        <f>B39*B40</f>
        <v>0</v>
      </c>
    </row>
    <row r="42" spans="1:3" x14ac:dyDescent="0.3">
      <c r="A42" s="20" t="s">
        <v>30</v>
      </c>
      <c r="B42" s="24">
        <v>500000</v>
      </c>
    </row>
    <row r="43" spans="1:3" x14ac:dyDescent="0.3">
      <c r="A43" s="20" t="s">
        <v>31</v>
      </c>
      <c r="B43" s="25">
        <f>B37*(B38+B42)+(B39*B40)</f>
        <v>15000000</v>
      </c>
    </row>
    <row r="44" spans="1:3" x14ac:dyDescent="0.3">
      <c r="A44" s="20" t="s">
        <v>32</v>
      </c>
      <c r="B44" s="28">
        <f>100/7/100</f>
        <v>0.14285714285714288</v>
      </c>
    </row>
    <row r="45" spans="1:3" x14ac:dyDescent="0.3">
      <c r="A45" s="20" t="s">
        <v>33</v>
      </c>
      <c r="B45" s="20">
        <v>7</v>
      </c>
    </row>
    <row r="47" spans="1:3" x14ac:dyDescent="0.3">
      <c r="A47" s="27" t="s">
        <v>34</v>
      </c>
    </row>
    <row r="48" spans="1:3" x14ac:dyDescent="0.3">
      <c r="A48" s="29" t="s">
        <v>35</v>
      </c>
    </row>
    <row r="49" spans="1:3" x14ac:dyDescent="0.3">
      <c r="A49" s="30" t="s">
        <v>36</v>
      </c>
      <c r="B49" s="84"/>
      <c r="C49" s="72" t="s">
        <v>111</v>
      </c>
    </row>
    <row r="50" spans="1:3" ht="14.5" x14ac:dyDescent="0.35">
      <c r="A50" s="32" t="s">
        <v>25</v>
      </c>
      <c r="B50" s="26">
        <v>0.05</v>
      </c>
    </row>
    <row r="51" spans="1:3" x14ac:dyDescent="0.3">
      <c r="A51" s="30" t="s">
        <v>37</v>
      </c>
      <c r="B51" s="26">
        <v>0.05</v>
      </c>
    </row>
    <row r="52" spans="1:3" x14ac:dyDescent="0.3">
      <c r="A52" s="30" t="s">
        <v>38</v>
      </c>
      <c r="B52" s="26">
        <v>0.05</v>
      </c>
    </row>
    <row r="53" spans="1:3" x14ac:dyDescent="0.3">
      <c r="A53" s="30" t="s">
        <v>39</v>
      </c>
      <c r="B53" s="84"/>
      <c r="C53" s="72" t="s">
        <v>112</v>
      </c>
    </row>
    <row r="54" spans="1:3" ht="14.5" x14ac:dyDescent="0.35">
      <c r="A54" s="32" t="s">
        <v>40</v>
      </c>
      <c r="B54" s="26">
        <v>7.0000000000000007E-2</v>
      </c>
    </row>
    <row r="55" spans="1:3" ht="14.5" x14ac:dyDescent="0.35">
      <c r="A55" s="32" t="s">
        <v>41</v>
      </c>
      <c r="B55" s="24">
        <v>2.2999999999999998</v>
      </c>
    </row>
    <row r="56" spans="1:3" x14ac:dyDescent="0.3">
      <c r="A56" s="20" t="s">
        <v>42</v>
      </c>
      <c r="B56" s="31">
        <v>45000</v>
      </c>
    </row>
    <row r="57" spans="1:3" ht="14.5" x14ac:dyDescent="0.35">
      <c r="A57" s="32" t="s">
        <v>40</v>
      </c>
      <c r="B57" s="26">
        <f>B54</f>
        <v>7.0000000000000007E-2</v>
      </c>
    </row>
    <row r="58" spans="1:3" ht="14.5" x14ac:dyDescent="0.35">
      <c r="A58" s="32" t="s">
        <v>43</v>
      </c>
      <c r="B58" s="31">
        <v>12</v>
      </c>
    </row>
    <row r="59" spans="1:3" x14ac:dyDescent="0.3">
      <c r="A59" s="20" t="s">
        <v>44</v>
      </c>
      <c r="B59" s="26">
        <v>0.01</v>
      </c>
    </row>
    <row r="61" spans="1:3" x14ac:dyDescent="0.3">
      <c r="A61" s="27" t="s">
        <v>45</v>
      </c>
    </row>
    <row r="62" spans="1:3" x14ac:dyDescent="0.3">
      <c r="A62" s="30" t="s">
        <v>46</v>
      </c>
      <c r="B62" s="84"/>
      <c r="C62" s="72" t="s">
        <v>113</v>
      </c>
    </row>
    <row r="63" spans="1:3" ht="14.5" x14ac:dyDescent="0.35">
      <c r="A63" s="32" t="s">
        <v>40</v>
      </c>
      <c r="B63" s="26">
        <v>7.0000000000000007E-2</v>
      </c>
    </row>
    <row r="64" spans="1:3" ht="14.5" x14ac:dyDescent="0.35">
      <c r="A64" s="32" t="s">
        <v>43</v>
      </c>
      <c r="B64" s="31">
        <v>8</v>
      </c>
    </row>
    <row r="65" spans="1:8" x14ac:dyDescent="0.3">
      <c r="A65" s="30" t="s">
        <v>47</v>
      </c>
      <c r="B65" s="26">
        <v>0.02</v>
      </c>
    </row>
    <row r="66" spans="1:8" x14ac:dyDescent="0.3">
      <c r="A66" s="30" t="s">
        <v>48</v>
      </c>
      <c r="B66" s="26">
        <v>5.0000000000000001E-3</v>
      </c>
    </row>
    <row r="67" spans="1:8" x14ac:dyDescent="0.3">
      <c r="A67" s="20" t="s">
        <v>49</v>
      </c>
      <c r="B67" s="31">
        <v>50000</v>
      </c>
    </row>
    <row r="68" spans="1:8" x14ac:dyDescent="0.3">
      <c r="B68" s="31"/>
    </row>
    <row r="69" spans="1:8" x14ac:dyDescent="0.3">
      <c r="A69" s="20" t="s">
        <v>50</v>
      </c>
      <c r="B69" s="31">
        <v>0</v>
      </c>
    </row>
    <row r="70" spans="1:8" x14ac:dyDescent="0.3">
      <c r="A70" s="20" t="s">
        <v>51</v>
      </c>
      <c r="B70" s="31">
        <v>0</v>
      </c>
    </row>
    <row r="72" spans="1:8" x14ac:dyDescent="0.3">
      <c r="A72" s="27" t="s">
        <v>52</v>
      </c>
    </row>
    <row r="73" spans="1:8" x14ac:dyDescent="0.3">
      <c r="A73" s="33" t="s">
        <v>53</v>
      </c>
      <c r="B73" s="34">
        <v>1</v>
      </c>
      <c r="C73" s="33">
        <f>B73+1</f>
        <v>2</v>
      </c>
      <c r="D73" s="33">
        <f t="shared" ref="D73:H73" si="0">C73+1</f>
        <v>3</v>
      </c>
      <c r="E73" s="33">
        <f t="shared" si="0"/>
        <v>4</v>
      </c>
      <c r="F73" s="33">
        <f t="shared" si="0"/>
        <v>5</v>
      </c>
      <c r="G73" s="33">
        <f t="shared" si="0"/>
        <v>6</v>
      </c>
      <c r="H73" s="33">
        <f t="shared" si="0"/>
        <v>7</v>
      </c>
    </row>
    <row r="74" spans="1:8" x14ac:dyDescent="0.3">
      <c r="A74" s="20" t="s">
        <v>54</v>
      </c>
      <c r="B74" s="35">
        <f>B37</f>
        <v>30</v>
      </c>
    </row>
    <row r="75" spans="1:8" x14ac:dyDescent="0.3">
      <c r="A75" s="20" t="s">
        <v>55</v>
      </c>
      <c r="B75" s="42">
        <f>B43</f>
        <v>15000000</v>
      </c>
      <c r="C75" s="31">
        <f>B77</f>
        <v>12857142.857142856</v>
      </c>
      <c r="D75" s="31">
        <f>C77</f>
        <v>10714285.714285713</v>
      </c>
      <c r="E75" s="31">
        <f t="shared" ref="E75:H75" si="1">D77</f>
        <v>8571428.571428569</v>
      </c>
      <c r="F75" s="31">
        <f t="shared" si="1"/>
        <v>6428571.4285714254</v>
      </c>
      <c r="G75" s="31">
        <f t="shared" si="1"/>
        <v>4285714.2857142817</v>
      </c>
      <c r="H75" s="31">
        <f t="shared" si="1"/>
        <v>2142857.1428571385</v>
      </c>
    </row>
    <row r="76" spans="1:8" x14ac:dyDescent="0.3">
      <c r="A76" s="20" t="s">
        <v>56</v>
      </c>
      <c r="B76" s="45">
        <f>B75*$B$44</f>
        <v>2142857.1428571432</v>
      </c>
      <c r="C76" s="46">
        <f>B76</f>
        <v>2142857.1428571432</v>
      </c>
      <c r="D76" s="46">
        <f t="shared" ref="D76:H76" si="2">C76</f>
        <v>2142857.1428571432</v>
      </c>
      <c r="E76" s="46">
        <f t="shared" si="2"/>
        <v>2142857.1428571432</v>
      </c>
      <c r="F76" s="46">
        <f t="shared" si="2"/>
        <v>2142857.1428571432</v>
      </c>
      <c r="G76" s="46">
        <f t="shared" si="2"/>
        <v>2142857.1428571432</v>
      </c>
      <c r="H76" s="46">
        <f t="shared" si="2"/>
        <v>2142857.1428571432</v>
      </c>
    </row>
    <row r="77" spans="1:8" x14ac:dyDescent="0.3">
      <c r="A77" s="20" t="s">
        <v>57</v>
      </c>
      <c r="B77" s="43">
        <f>B75-B76</f>
        <v>12857142.857142856</v>
      </c>
      <c r="C77" s="44">
        <f>C75-C76</f>
        <v>10714285.714285713</v>
      </c>
      <c r="D77" s="44">
        <f>D75-D76</f>
        <v>8571428.571428569</v>
      </c>
      <c r="E77" s="44">
        <f t="shared" ref="E77:H77" si="3">E75-E76</f>
        <v>6428571.4285714254</v>
      </c>
      <c r="F77" s="44">
        <f t="shared" si="3"/>
        <v>4285714.2857142817</v>
      </c>
      <c r="G77" s="44">
        <f t="shared" si="3"/>
        <v>2142857.1428571385</v>
      </c>
      <c r="H77" s="44">
        <f t="shared" si="3"/>
        <v>-4.6566128730773926E-9</v>
      </c>
    </row>
  </sheetData>
  <mergeCells count="6">
    <mergeCell ref="A1:B1"/>
    <mergeCell ref="D1:E1"/>
    <mergeCell ref="G1:H1"/>
    <mergeCell ref="A6:B6"/>
    <mergeCell ref="D6:E6"/>
    <mergeCell ref="G6:H6"/>
  </mergeCells>
  <pageMargins left="0.7" right="0.7" top="0.75" bottom="0.75" header="0.3" footer="0.3"/>
  <pageSetup paperSize="9" scale="4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45147-CFFC-4D82-A6BB-91BACBD2205C}">
  <sheetPr>
    <pageSetUpPr fitToPage="1"/>
  </sheetPr>
  <dimension ref="A1:O67"/>
  <sheetViews>
    <sheetView tabSelected="1" topLeftCell="A7" zoomScale="84" workbookViewId="0">
      <selection activeCell="D23" sqref="D23"/>
    </sheetView>
  </sheetViews>
  <sheetFormatPr defaultRowHeight="14.5" x14ac:dyDescent="0.35"/>
  <cols>
    <col min="4" max="4" width="26.54296875" customWidth="1"/>
    <col min="5" max="6" width="28.6328125" customWidth="1"/>
    <col min="7" max="8" width="28.6328125" hidden="1" customWidth="1"/>
    <col min="9" max="14" width="28.6328125" customWidth="1"/>
    <col min="15" max="15" width="36.6328125" bestFit="1" customWidth="1"/>
  </cols>
  <sheetData>
    <row r="1" spans="4:15" x14ac:dyDescent="0.35">
      <c r="E1" s="1" t="s">
        <v>58</v>
      </c>
      <c r="F1" s="2">
        <v>1</v>
      </c>
      <c r="G1" s="2" t="s">
        <v>59</v>
      </c>
      <c r="H1" s="2" t="s">
        <v>60</v>
      </c>
      <c r="I1" s="2">
        <v>2</v>
      </c>
      <c r="J1" s="2">
        <v>3</v>
      </c>
      <c r="K1" s="2">
        <v>4</v>
      </c>
      <c r="L1" s="2">
        <v>5</v>
      </c>
      <c r="M1" s="2">
        <v>6</v>
      </c>
      <c r="N1" s="2">
        <v>7</v>
      </c>
    </row>
    <row r="2" spans="4:15" x14ac:dyDescent="0.35">
      <c r="D2" t="s">
        <v>61</v>
      </c>
      <c r="E2" s="3">
        <f>SUM(F2:N2)</f>
        <v>0</v>
      </c>
      <c r="F2" s="3">
        <f>[1]Sheet1!E27*[1]Sheet1!E9</f>
        <v>0</v>
      </c>
      <c r="G2" s="3">
        <f>F2/12</f>
        <v>0</v>
      </c>
      <c r="H2" s="3">
        <f>G2/30</f>
        <v>0</v>
      </c>
      <c r="I2" s="3">
        <f>F2*(1+[1]Sheet1!$E$8)</f>
        <v>0</v>
      </c>
      <c r="J2" s="3">
        <f>I2*(1+[1]Sheet1!$E$8)</f>
        <v>0</v>
      </c>
      <c r="K2" s="3">
        <f>J2*(1+[1]Sheet1!$E$8)</f>
        <v>0</v>
      </c>
      <c r="L2" s="3">
        <f>K2*(1+[1]Sheet1!$E$8)</f>
        <v>0</v>
      </c>
      <c r="M2" s="3">
        <f>L2*(1+[1]Sheet1!$E$8)</f>
        <v>0</v>
      </c>
      <c r="N2" s="3">
        <f>M2*(1+[1]Sheet1!$E$8)</f>
        <v>0</v>
      </c>
    </row>
    <row r="3" spans="4:15" x14ac:dyDescent="0.35">
      <c r="D3" t="s">
        <v>62</v>
      </c>
      <c r="E3" s="4">
        <f>SUM(F3:N3)</f>
        <v>967632559.32066274</v>
      </c>
      <c r="F3" s="4">
        <f>'Data Sheet'!B33</f>
        <v>110711432.8219711</v>
      </c>
      <c r="G3" s="4">
        <f>F3/12</f>
        <v>9225952.7351642586</v>
      </c>
      <c r="H3" s="4">
        <f>G3/30</f>
        <v>307531.75783880864</v>
      </c>
      <c r="I3" s="4">
        <f>F3*(1+[1]Sheet1!$B$30)</f>
        <v>118461233.11950909</v>
      </c>
      <c r="J3" s="4">
        <f>I3*(1+[1]Sheet1!$B$30)</f>
        <v>126753519.43787473</v>
      </c>
      <c r="K3" s="4">
        <f>J3*(1+[1]Sheet1!$B$30)</f>
        <v>135626265.79852596</v>
      </c>
      <c r="L3" s="4">
        <f>K3*(1+[1]Sheet1!$B$30)</f>
        <v>145120104.40442279</v>
      </c>
      <c r="M3" s="4">
        <f>L3*(1+[1]Sheet1!$B$30)</f>
        <v>155278511.7127324</v>
      </c>
      <c r="N3" s="4">
        <f>M3*(1+[1]Sheet1!$B$30)</f>
        <v>166148007.53262368</v>
      </c>
    </row>
    <row r="4" spans="4:15" x14ac:dyDescent="0.35">
      <c r="D4" s="15" t="s">
        <v>63</v>
      </c>
      <c r="E4" s="16">
        <f>SUM(F4:N4)</f>
        <v>967632559.32066274</v>
      </c>
      <c r="F4" s="17">
        <f t="shared" ref="F4:N4" si="0">SUM(F2:F3)</f>
        <v>110711432.8219711</v>
      </c>
      <c r="G4" s="17">
        <f t="shared" si="0"/>
        <v>9225952.7351642586</v>
      </c>
      <c r="H4" s="17">
        <f t="shared" si="0"/>
        <v>307531.75783880864</v>
      </c>
      <c r="I4" s="17">
        <f t="shared" si="0"/>
        <v>118461233.11950909</v>
      </c>
      <c r="J4" s="17">
        <f t="shared" si="0"/>
        <v>126753519.43787473</v>
      </c>
      <c r="K4" s="17">
        <f t="shared" si="0"/>
        <v>135626265.79852596</v>
      </c>
      <c r="L4" s="17">
        <f t="shared" si="0"/>
        <v>145120104.40442279</v>
      </c>
      <c r="M4" s="17">
        <f t="shared" si="0"/>
        <v>155278511.7127324</v>
      </c>
      <c r="N4" s="17">
        <f t="shared" si="0"/>
        <v>166148007.53262368</v>
      </c>
    </row>
    <row r="5" spans="4:15" x14ac:dyDescent="0.35">
      <c r="F5" s="5"/>
      <c r="G5" s="5"/>
      <c r="H5" s="5"/>
      <c r="I5" s="48"/>
      <c r="J5" s="5"/>
      <c r="K5" s="5"/>
      <c r="L5" s="5"/>
      <c r="M5" s="5"/>
      <c r="N5" s="5"/>
    </row>
    <row r="6" spans="4:15" x14ac:dyDescent="0.35">
      <c r="D6" t="s">
        <v>64</v>
      </c>
      <c r="F6" s="5"/>
      <c r="G6" s="5"/>
      <c r="H6" s="5"/>
      <c r="I6" s="5"/>
      <c r="J6" s="5"/>
      <c r="K6" s="5"/>
      <c r="L6" s="5"/>
      <c r="M6" s="5"/>
      <c r="N6" s="5"/>
    </row>
    <row r="7" spans="4:15" x14ac:dyDescent="0.35">
      <c r="D7" t="s">
        <v>65</v>
      </c>
      <c r="E7" s="3">
        <f t="shared" ref="E7:E15" si="1">SUM(F7:N7)</f>
        <v>201023040.68418255</v>
      </c>
      <c r="F7" s="3">
        <v>23000000</v>
      </c>
      <c r="G7" s="3">
        <f t="shared" ref="G7:G30" si="2">F7/12</f>
        <v>1916666.6666666667</v>
      </c>
      <c r="H7" s="3">
        <f t="shared" ref="H7:H30" si="3">G7/30</f>
        <v>63888.888888888891</v>
      </c>
      <c r="I7" s="3">
        <f>F7*(1+[1]Sheet1!$B$48)</f>
        <v>24610000</v>
      </c>
      <c r="J7" s="3">
        <f>I7*(1+[1]Sheet1!$B$48)</f>
        <v>26332700</v>
      </c>
      <c r="K7" s="3">
        <f>J7*(1+[1]Sheet1!$B$48)</f>
        <v>28175989</v>
      </c>
      <c r="L7" s="3">
        <f>K7*(1+[1]Sheet1!$B$48)</f>
        <v>30148308.23</v>
      </c>
      <c r="M7" s="3">
        <f>L7*(1+[1]Sheet1!$B$48)</f>
        <v>32258689.806100003</v>
      </c>
      <c r="N7" s="3">
        <f>M7*(1+[1]Sheet1!$B$48)</f>
        <v>34516798.092527002</v>
      </c>
    </row>
    <row r="8" spans="4:15" x14ac:dyDescent="0.35">
      <c r="D8" t="s">
        <v>66</v>
      </c>
      <c r="E8" s="6">
        <f t="shared" si="1"/>
        <v>0</v>
      </c>
      <c r="F8" s="6">
        <v>0</v>
      </c>
      <c r="G8" s="6">
        <f t="shared" si="2"/>
        <v>0</v>
      </c>
      <c r="H8" s="6">
        <f t="shared" si="3"/>
        <v>0</v>
      </c>
      <c r="I8" s="6">
        <f>F8*(1+[1]Sheet1!$B$46)</f>
        <v>0</v>
      </c>
      <c r="J8" s="6">
        <f>I8*(1+[1]Sheet1!$B$46)</f>
        <v>0</v>
      </c>
      <c r="K8" s="6">
        <f>J8*(1+[1]Sheet1!$B$46)</f>
        <v>0</v>
      </c>
      <c r="L8" s="6">
        <f>K8*(1+[1]Sheet1!$B$46)</f>
        <v>0</v>
      </c>
      <c r="M8" s="6">
        <f>L8*(1+[1]Sheet1!$B$46)</f>
        <v>0</v>
      </c>
      <c r="N8" s="6">
        <f>M8*(1+[1]Sheet1!$B$46)</f>
        <v>0</v>
      </c>
    </row>
    <row r="9" spans="4:15" x14ac:dyDescent="0.35">
      <c r="D9" t="s">
        <v>67</v>
      </c>
      <c r="E9" s="6">
        <f t="shared" si="1"/>
        <v>0</v>
      </c>
      <c r="F9" s="6">
        <f>'Data Sheet'!B26*365*'Data Sheet'!B49</f>
        <v>0</v>
      </c>
      <c r="G9" s="6">
        <f t="shared" si="2"/>
        <v>0</v>
      </c>
      <c r="H9" s="6">
        <f t="shared" si="3"/>
        <v>0</v>
      </c>
      <c r="I9" s="6">
        <f>F9*(1+'Data Sheet'!$B$50)</f>
        <v>0</v>
      </c>
      <c r="J9" s="6">
        <f>I9*(1+'Data Sheet'!$B$50)</f>
        <v>0</v>
      </c>
      <c r="K9" s="6">
        <f>J9*(1+'Data Sheet'!$B$50)</f>
        <v>0</v>
      </c>
      <c r="L9" s="6">
        <f>K9*(1+'Data Sheet'!$B$50)</f>
        <v>0</v>
      </c>
      <c r="M9" s="6">
        <f>L9*(1+'Data Sheet'!$B$50)</f>
        <v>0</v>
      </c>
      <c r="N9" s="6">
        <f>M9*(1+'Data Sheet'!$B$50)</f>
        <v>0</v>
      </c>
    </row>
    <row r="10" spans="4:15" x14ac:dyDescent="0.35">
      <c r="D10" t="s">
        <v>68</v>
      </c>
      <c r="E10" s="6">
        <f t="shared" si="1"/>
        <v>15184523.809523813</v>
      </c>
      <c r="F10" s="6">
        <f>'Data Sheet'!B76</f>
        <v>2142857.1428571432</v>
      </c>
      <c r="G10" s="6">
        <f t="shared" si="2"/>
        <v>178571.42857142861</v>
      </c>
      <c r="H10" s="6">
        <f t="shared" si="3"/>
        <v>5952.3809523809532</v>
      </c>
      <c r="I10" s="6">
        <f>F10</f>
        <v>2142857.1428571432</v>
      </c>
      <c r="J10" s="6">
        <f>I10</f>
        <v>2142857.1428571432</v>
      </c>
      <c r="K10" s="6">
        <f>J10</f>
        <v>2142857.1428571432</v>
      </c>
      <c r="L10" s="6">
        <f t="shared" ref="L10:N10" si="4">I10</f>
        <v>2142857.1428571432</v>
      </c>
      <c r="M10" s="6">
        <f t="shared" si="4"/>
        <v>2142857.1428571432</v>
      </c>
      <c r="N10" s="6">
        <f t="shared" si="4"/>
        <v>2142857.1428571432</v>
      </c>
    </row>
    <row r="11" spans="4:15" x14ac:dyDescent="0.35">
      <c r="D11" t="s">
        <v>50</v>
      </c>
      <c r="E11" s="7">
        <f t="shared" si="1"/>
        <v>0</v>
      </c>
      <c r="F11" s="7">
        <v>0</v>
      </c>
      <c r="G11" s="7">
        <f t="shared" si="2"/>
        <v>0</v>
      </c>
      <c r="H11" s="7">
        <f t="shared" si="3"/>
        <v>0</v>
      </c>
      <c r="I11" s="7">
        <v>0</v>
      </c>
      <c r="J11" s="7">
        <v>0</v>
      </c>
      <c r="K11" s="7">
        <v>0</v>
      </c>
      <c r="L11" s="7">
        <v>0</v>
      </c>
      <c r="M11" s="7">
        <v>0</v>
      </c>
      <c r="N11" s="7">
        <v>0</v>
      </c>
    </row>
    <row r="12" spans="4:15" x14ac:dyDescent="0.35">
      <c r="D12" t="s">
        <v>69</v>
      </c>
      <c r="E12" s="8">
        <f t="shared" si="1"/>
        <v>0</v>
      </c>
      <c r="F12" s="8">
        <f>[1]Sheet1!$J$38*12</f>
        <v>0</v>
      </c>
      <c r="G12" s="8">
        <f t="shared" si="2"/>
        <v>0</v>
      </c>
      <c r="H12" s="8">
        <f t="shared" si="3"/>
        <v>0</v>
      </c>
      <c r="I12" s="8">
        <f>[1]Sheet1!$J$38*12</f>
        <v>0</v>
      </c>
      <c r="J12" s="8">
        <f>[1]Sheet1!$J$38*12</f>
        <v>0</v>
      </c>
      <c r="K12" s="8">
        <f>[1]Sheet1!$J$38*12</f>
        <v>0</v>
      </c>
      <c r="L12" s="8">
        <f>[1]Sheet1!$J$38*12</f>
        <v>0</v>
      </c>
      <c r="M12" s="8">
        <f>[1]Sheet1!$J$38*12</f>
        <v>0</v>
      </c>
      <c r="N12" s="8">
        <f>[1]Sheet1!$J$38*12</f>
        <v>0</v>
      </c>
    </row>
    <row r="13" spans="4:15" x14ac:dyDescent="0.35">
      <c r="D13" t="s">
        <v>51</v>
      </c>
      <c r="E13" s="8">
        <f t="shared" si="1"/>
        <v>0</v>
      </c>
      <c r="F13" s="8">
        <f>[1]Sheet1!$J$39*'[2]P&amp;L'!C4</f>
        <v>0</v>
      </c>
      <c r="G13" s="8">
        <f t="shared" si="2"/>
        <v>0</v>
      </c>
      <c r="H13" s="8">
        <f t="shared" si="3"/>
        <v>0</v>
      </c>
      <c r="I13" s="8">
        <f>[1]Sheet1!$J$39*'[2]P&amp;L'!F4</f>
        <v>0</v>
      </c>
      <c r="J13" s="8">
        <f>[1]Sheet1!$J$39*'[2]P&amp;L'!G4</f>
        <v>0</v>
      </c>
      <c r="K13" s="8">
        <f>[1]Sheet1!$J$39*'[2]P&amp;L'!H4</f>
        <v>0</v>
      </c>
      <c r="L13" s="8">
        <f>[1]Sheet1!$J$39*'[2]P&amp;L'!I4</f>
        <v>0</v>
      </c>
      <c r="M13" s="8">
        <f>[1]Sheet1!$J$39*'[2]P&amp;L'!J4</f>
        <v>0</v>
      </c>
      <c r="N13" s="8">
        <f>[1]Sheet1!$J$39*'[2]P&amp;L'!K4</f>
        <v>0</v>
      </c>
    </row>
    <row r="14" spans="4:15" x14ac:dyDescent="0.35">
      <c r="D14" t="s">
        <v>70</v>
      </c>
      <c r="E14" s="6">
        <f t="shared" si="1"/>
        <v>4307976.9500000011</v>
      </c>
      <c r="F14" s="6">
        <f>'Data Sheet'!B43*3%</f>
        <v>450000</v>
      </c>
      <c r="G14" s="6">
        <f t="shared" si="2"/>
        <v>37500</v>
      </c>
      <c r="H14" s="6">
        <f t="shared" si="3"/>
        <v>1250</v>
      </c>
      <c r="I14" s="6">
        <f>F14*1.1</f>
        <v>495000.00000000006</v>
      </c>
      <c r="J14" s="6">
        <f>I14*1.1</f>
        <v>544500.00000000012</v>
      </c>
      <c r="K14" s="6">
        <f t="shared" ref="K14:N15" si="5">J14*1.1</f>
        <v>598950.00000000023</v>
      </c>
      <c r="L14" s="6">
        <f t="shared" si="5"/>
        <v>658845.00000000035</v>
      </c>
      <c r="M14" s="6">
        <f t="shared" si="5"/>
        <v>724729.50000000047</v>
      </c>
      <c r="N14" s="6">
        <f t="shared" si="5"/>
        <v>797202.45000000054</v>
      </c>
    </row>
    <row r="15" spans="4:15" x14ac:dyDescent="0.35">
      <c r="D15" t="s">
        <v>71</v>
      </c>
      <c r="E15" s="4">
        <f t="shared" si="1"/>
        <v>0</v>
      </c>
      <c r="F15" s="86"/>
      <c r="G15" s="4">
        <f t="shared" si="2"/>
        <v>0</v>
      </c>
      <c r="H15" s="4">
        <f t="shared" si="3"/>
        <v>0</v>
      </c>
      <c r="I15" s="4">
        <f>F15*1.1</f>
        <v>0</v>
      </c>
      <c r="J15" s="4">
        <f>I15*1.1</f>
        <v>0</v>
      </c>
      <c r="K15" s="4">
        <f t="shared" si="5"/>
        <v>0</v>
      </c>
      <c r="L15" s="4">
        <f t="shared" si="5"/>
        <v>0</v>
      </c>
      <c r="M15" s="4">
        <f t="shared" si="5"/>
        <v>0</v>
      </c>
      <c r="N15" s="4">
        <f t="shared" si="5"/>
        <v>0</v>
      </c>
      <c r="O15" s="74" t="s">
        <v>114</v>
      </c>
    </row>
    <row r="16" spans="4:15" x14ac:dyDescent="0.35">
      <c r="E16" s="9">
        <f>SUM(E7:E15)</f>
        <v>220515541.44370636</v>
      </c>
      <c r="F16" s="9">
        <f>SUM(F7:F15)</f>
        <v>25592857.142857142</v>
      </c>
      <c r="G16" s="9">
        <f t="shared" si="2"/>
        <v>2132738.0952380951</v>
      </c>
      <c r="H16" s="9">
        <f t="shared" si="3"/>
        <v>71091.269841269837</v>
      </c>
      <c r="I16" s="9">
        <f t="shared" ref="I16:N16" si="6">SUM(I7:I15)</f>
        <v>27247857.142857142</v>
      </c>
      <c r="J16" s="9">
        <f t="shared" si="6"/>
        <v>29020057.142857142</v>
      </c>
      <c r="K16" s="9">
        <f t="shared" si="6"/>
        <v>30917796.142857142</v>
      </c>
      <c r="L16" s="9">
        <f t="shared" si="6"/>
        <v>32950010.372857142</v>
      </c>
      <c r="M16" s="9">
        <f t="shared" si="6"/>
        <v>35126276.448957145</v>
      </c>
      <c r="N16" s="9">
        <f t="shared" si="6"/>
        <v>37456857.685384147</v>
      </c>
    </row>
    <row r="17" spans="1:15" x14ac:dyDescent="0.35">
      <c r="D17" s="15" t="s">
        <v>72</v>
      </c>
      <c r="E17" s="18">
        <f>E4-E16</f>
        <v>747117017.87695634</v>
      </c>
      <c r="F17" s="18">
        <f>F4-F16</f>
        <v>85118575.679113954</v>
      </c>
      <c r="G17" s="18">
        <f t="shared" si="2"/>
        <v>7093214.6399261625</v>
      </c>
      <c r="H17" s="18">
        <f t="shared" si="3"/>
        <v>236440.48799753876</v>
      </c>
      <c r="I17" s="18">
        <f>I4-I16</f>
        <v>91213375.976651937</v>
      </c>
      <c r="J17" s="18">
        <f t="shared" ref="J17:N17" si="7">J4-J16</f>
        <v>97733462.2950176</v>
      </c>
      <c r="K17" s="18">
        <f t="shared" si="7"/>
        <v>104708469.65566882</v>
      </c>
      <c r="L17" s="18">
        <f t="shared" si="7"/>
        <v>112170094.03156565</v>
      </c>
      <c r="M17" s="18">
        <f t="shared" si="7"/>
        <v>120152235.26377526</v>
      </c>
      <c r="N17" s="18">
        <f t="shared" si="7"/>
        <v>128691149.84723952</v>
      </c>
    </row>
    <row r="18" spans="1:15" x14ac:dyDescent="0.35">
      <c r="E18" s="5"/>
      <c r="F18" s="5"/>
      <c r="G18" s="5">
        <f t="shared" si="2"/>
        <v>0</v>
      </c>
      <c r="H18" s="5">
        <f t="shared" si="3"/>
        <v>0</v>
      </c>
      <c r="I18" s="5"/>
      <c r="J18" s="5"/>
      <c r="K18" s="5"/>
      <c r="L18" s="5"/>
      <c r="M18" s="5"/>
      <c r="N18" s="5"/>
    </row>
    <row r="19" spans="1:15" x14ac:dyDescent="0.35">
      <c r="D19" t="s">
        <v>73</v>
      </c>
      <c r="E19" s="5"/>
      <c r="F19" s="5"/>
      <c r="G19" s="5">
        <f t="shared" si="2"/>
        <v>0</v>
      </c>
      <c r="H19" s="5">
        <f t="shared" si="3"/>
        <v>0</v>
      </c>
      <c r="I19" s="5"/>
      <c r="J19" s="5"/>
      <c r="K19" s="5"/>
      <c r="L19" s="5"/>
      <c r="M19" s="5"/>
      <c r="N19" s="5"/>
    </row>
    <row r="20" spans="1:15" x14ac:dyDescent="0.35">
      <c r="D20" t="s">
        <v>65</v>
      </c>
      <c r="E20" s="3">
        <f>SUM(F20:N20)</f>
        <v>34960528.814640447</v>
      </c>
      <c r="F20" s="3">
        <v>4000000</v>
      </c>
      <c r="G20" s="3">
        <f t="shared" si="2"/>
        <v>333333.33333333331</v>
      </c>
      <c r="H20" s="3">
        <f t="shared" si="3"/>
        <v>11111.111111111111</v>
      </c>
      <c r="I20" s="3">
        <f>F20*(1+[1]Sheet1!$B$57)</f>
        <v>4280000</v>
      </c>
      <c r="J20" s="3">
        <f>I20*(1+[1]Sheet1!$B$57)</f>
        <v>4579600</v>
      </c>
      <c r="K20" s="3">
        <f>J20*(1+[1]Sheet1!$B$57)</f>
        <v>4900172</v>
      </c>
      <c r="L20" s="3">
        <f>K20*(1+[1]Sheet1!$B$57)</f>
        <v>5243184.04</v>
      </c>
      <c r="M20" s="3">
        <f>L20*(1+[1]Sheet1!$B$57)</f>
        <v>5610206.9228000008</v>
      </c>
      <c r="N20" s="3">
        <f>M20*(1+[1]Sheet1!$B$57)</f>
        <v>6002921.4073960008</v>
      </c>
    </row>
    <row r="21" spans="1:15" x14ac:dyDescent="0.35">
      <c r="D21" t="s">
        <v>48</v>
      </c>
      <c r="E21" s="6">
        <f>SUM(F21:N21)</f>
        <v>4838162.7966033146</v>
      </c>
      <c r="F21" s="6">
        <f>F4*[1]Sheet1!$B$60</f>
        <v>553557.16410985554</v>
      </c>
      <c r="G21" s="6">
        <f t="shared" si="2"/>
        <v>46129.763675821298</v>
      </c>
      <c r="H21" s="6">
        <f t="shared" si="3"/>
        <v>1537.6587891940433</v>
      </c>
      <c r="I21" s="6">
        <f>I4*[1]Sheet1!$B$60</f>
        <v>592306.16559754545</v>
      </c>
      <c r="J21" s="6">
        <f>J4*[1]Sheet1!$B$60</f>
        <v>633767.59718937369</v>
      </c>
      <c r="K21" s="6">
        <f>K4*[1]Sheet1!$B$60</f>
        <v>678131.32899262977</v>
      </c>
      <c r="L21" s="6">
        <f>L4*[1]Sheet1!$B$60</f>
        <v>725600.52202211402</v>
      </c>
      <c r="M21" s="6">
        <f>M4*[1]Sheet1!$B$60</f>
        <v>776392.55856366199</v>
      </c>
      <c r="N21" s="6">
        <f>N4*[1]Sheet1!$B$60</f>
        <v>830740.03766311845</v>
      </c>
    </row>
    <row r="22" spans="1:15" x14ac:dyDescent="0.35">
      <c r="D22" t="s">
        <v>71</v>
      </c>
      <c r="E22" s="4">
        <f>SUM(F22:N22)</f>
        <v>0</v>
      </c>
      <c r="F22" s="86"/>
      <c r="G22" s="4">
        <f t="shared" si="2"/>
        <v>0</v>
      </c>
      <c r="H22" s="4">
        <f t="shared" si="3"/>
        <v>0</v>
      </c>
      <c r="I22" s="4">
        <f>F22*1.1</f>
        <v>0</v>
      </c>
      <c r="J22" s="4">
        <f>I22*1.1</f>
        <v>0</v>
      </c>
      <c r="K22" s="4">
        <f t="shared" ref="K22:N22" si="8">J22*1.1</f>
        <v>0</v>
      </c>
      <c r="L22" s="4">
        <f t="shared" si="8"/>
        <v>0</v>
      </c>
      <c r="M22" s="4">
        <f t="shared" si="8"/>
        <v>0</v>
      </c>
      <c r="N22" s="4">
        <f t="shared" si="8"/>
        <v>0</v>
      </c>
      <c r="O22" s="74" t="s">
        <v>115</v>
      </c>
    </row>
    <row r="23" spans="1:15" x14ac:dyDescent="0.35">
      <c r="E23" s="5">
        <f>SUM(E20:E22)</f>
        <v>39798691.611243762</v>
      </c>
      <c r="F23" s="5">
        <f>SUM(F20:F22)</f>
        <v>4553557.1641098559</v>
      </c>
      <c r="G23" s="5">
        <f t="shared" si="2"/>
        <v>379463.09700915468</v>
      </c>
      <c r="H23" s="5">
        <f t="shared" si="3"/>
        <v>12648.769900305157</v>
      </c>
      <c r="I23" s="5">
        <f>SUM(I20:I22)</f>
        <v>4872306.165597545</v>
      </c>
      <c r="J23" s="5">
        <f>SUM(J20:J22)</f>
        <v>5213367.5971893733</v>
      </c>
      <c r="K23" s="5">
        <f>SUM(K20:K22)</f>
        <v>5578303.3289926294</v>
      </c>
      <c r="L23" s="5">
        <f>SUM(L20:L22)</f>
        <v>5968784.5620221142</v>
      </c>
      <c r="M23" s="5">
        <f>SUM(M20:M22)</f>
        <v>6386599.4813636625</v>
      </c>
      <c r="N23" s="5">
        <f>SUM(N20:N22)</f>
        <v>6833661.4450591188</v>
      </c>
    </row>
    <row r="24" spans="1:15" x14ac:dyDescent="0.35">
      <c r="D24" s="15" t="s">
        <v>74</v>
      </c>
      <c r="E24" s="18">
        <f>E17-E23</f>
        <v>707318326.26571262</v>
      </c>
      <c r="F24" s="18">
        <f>F17-F23</f>
        <v>80565018.515004098</v>
      </c>
      <c r="G24" s="18">
        <f t="shared" si="2"/>
        <v>6713751.5429170085</v>
      </c>
      <c r="H24" s="18">
        <f t="shared" si="3"/>
        <v>223791.71809723362</v>
      </c>
      <c r="I24" s="18">
        <f>I17-I23</f>
        <v>86341069.811054394</v>
      </c>
      <c r="J24" s="18">
        <f>J17-J23</f>
        <v>92520094.697828233</v>
      </c>
      <c r="K24" s="18">
        <f>K17-K23</f>
        <v>99130166.32667619</v>
      </c>
      <c r="L24" s="18">
        <f>L17-L23</f>
        <v>106201309.46954353</v>
      </c>
      <c r="M24" s="18">
        <f>M17-M23</f>
        <v>113765635.78241159</v>
      </c>
      <c r="N24" s="18">
        <f>N17-N23</f>
        <v>121857488.4021804</v>
      </c>
    </row>
    <row r="25" spans="1:15" x14ac:dyDescent="0.35">
      <c r="E25" s="5"/>
      <c r="F25" s="5"/>
      <c r="G25" s="5">
        <f t="shared" si="2"/>
        <v>0</v>
      </c>
      <c r="H25" s="5">
        <f t="shared" si="3"/>
        <v>0</v>
      </c>
      <c r="I25" s="5"/>
      <c r="J25" s="5"/>
      <c r="K25" s="5"/>
      <c r="L25" s="5"/>
      <c r="M25" s="5"/>
      <c r="N25" s="5"/>
    </row>
    <row r="26" spans="1:15" x14ac:dyDescent="0.35">
      <c r="A26" s="87" t="s">
        <v>75</v>
      </c>
      <c r="B26" s="88"/>
      <c r="D26" t="s">
        <v>75</v>
      </c>
      <c r="E26" s="10">
        <f>SUM(F26:N26)</f>
        <v>0</v>
      </c>
      <c r="F26" s="10">
        <f>'Data Sheet'!B43*B26</f>
        <v>0</v>
      </c>
      <c r="G26" s="10">
        <f t="shared" si="2"/>
        <v>0</v>
      </c>
      <c r="H26" s="10">
        <f t="shared" si="3"/>
        <v>0</v>
      </c>
      <c r="I26" s="10">
        <f>F26</f>
        <v>0</v>
      </c>
      <c r="J26" s="10">
        <f>I26</f>
        <v>0</v>
      </c>
      <c r="K26" s="10">
        <f>J26</f>
        <v>0</v>
      </c>
      <c r="L26" s="10">
        <f t="shared" ref="L26:N26" si="9">K26</f>
        <v>0</v>
      </c>
      <c r="M26" s="10">
        <f t="shared" si="9"/>
        <v>0</v>
      </c>
      <c r="N26" s="10">
        <f t="shared" si="9"/>
        <v>0</v>
      </c>
    </row>
    <row r="27" spans="1:15" ht="14.5" customHeight="1" x14ac:dyDescent="0.35">
      <c r="B27" s="75" t="s">
        <v>116</v>
      </c>
      <c r="D27" s="15" t="s">
        <v>76</v>
      </c>
      <c r="E27" s="18">
        <f>E24-E26</f>
        <v>707318326.26571262</v>
      </c>
      <c r="F27" s="18">
        <f>F24-F26</f>
        <v>80565018.515004098</v>
      </c>
      <c r="G27" s="18">
        <f t="shared" si="2"/>
        <v>6713751.5429170085</v>
      </c>
      <c r="H27" s="18">
        <f t="shared" si="3"/>
        <v>223791.71809723362</v>
      </c>
      <c r="I27" s="18">
        <f t="shared" ref="I27:N27" si="10">I24-I26</f>
        <v>86341069.811054394</v>
      </c>
      <c r="J27" s="18">
        <f t="shared" si="10"/>
        <v>92520094.697828233</v>
      </c>
      <c r="K27" s="18">
        <f t="shared" si="10"/>
        <v>99130166.32667619</v>
      </c>
      <c r="L27" s="18">
        <f t="shared" si="10"/>
        <v>106201309.46954353</v>
      </c>
      <c r="M27" s="18">
        <f t="shared" si="10"/>
        <v>113765635.78241159</v>
      </c>
      <c r="N27" s="18">
        <f t="shared" si="10"/>
        <v>121857488.4021804</v>
      </c>
    </row>
    <row r="28" spans="1:15" x14ac:dyDescent="0.35">
      <c r="B28" s="75"/>
      <c r="D28" t="s">
        <v>77</v>
      </c>
      <c r="E28" s="5">
        <f>SUM(F28:N28)</f>
        <v>212195497.87971377</v>
      </c>
      <c r="F28" s="5">
        <f>IF(F44&lt;0,F4*4%,F27*30%)</f>
        <v>24169505.554501228</v>
      </c>
      <c r="G28" s="5">
        <f t="shared" si="2"/>
        <v>2014125.4628751024</v>
      </c>
      <c r="H28" s="5">
        <f t="shared" si="3"/>
        <v>67137.515429170075</v>
      </c>
      <c r="I28" s="5">
        <f>IF(I44&lt;0,I4*4%,I27*30%)</f>
        <v>25902320.943316318</v>
      </c>
      <c r="J28" s="5">
        <f>IF(J44&lt;0,J4*4%,J27*30%)</f>
        <v>27756028.409348469</v>
      </c>
      <c r="K28" s="5">
        <f>IF(K44&lt;0,K4*4%,K27*30%)</f>
        <v>29739049.898002855</v>
      </c>
      <c r="L28" s="5">
        <f>IF(L44&lt;0,L4*4%,L27*30%)</f>
        <v>31860392.840863056</v>
      </c>
      <c r="M28" s="5">
        <f>IF(M44&lt;0,M4*4%,M27*30%)</f>
        <v>34129690.734723479</v>
      </c>
      <c r="N28" s="5">
        <f>IF(N44&lt;0,N4*4%,N27*30%)</f>
        <v>36557246.52065412</v>
      </c>
    </row>
    <row r="29" spans="1:15" ht="15" thickBot="1" x14ac:dyDescent="0.4">
      <c r="B29" s="75"/>
      <c r="D29" s="15" t="s">
        <v>78</v>
      </c>
      <c r="E29" s="19">
        <f>E27-E28</f>
        <v>495122828.38599885</v>
      </c>
      <c r="F29" s="19">
        <f>F27-F28</f>
        <v>56395512.96050287</v>
      </c>
      <c r="G29" s="19">
        <f t="shared" si="2"/>
        <v>4699626.0800419059</v>
      </c>
      <c r="H29" s="19">
        <f t="shared" si="3"/>
        <v>156654.20266806352</v>
      </c>
      <c r="I29" s="19">
        <f t="shared" ref="I29:N29" si="11">I27-I28</f>
        <v>60438748.867738076</v>
      </c>
      <c r="J29" s="19">
        <f t="shared" si="11"/>
        <v>64764066.28847976</v>
      </c>
      <c r="K29" s="19">
        <f t="shared" si="11"/>
        <v>69391116.428673327</v>
      </c>
      <c r="L29" s="19">
        <f t="shared" si="11"/>
        <v>74340916.628680468</v>
      </c>
      <c r="M29" s="19">
        <f t="shared" si="11"/>
        <v>79635945.047688112</v>
      </c>
      <c r="N29" s="19">
        <f t="shared" si="11"/>
        <v>85300241.881526291</v>
      </c>
    </row>
    <row r="30" spans="1:15" ht="15" thickTop="1" x14ac:dyDescent="0.35">
      <c r="B30" s="75"/>
      <c r="F30" s="5"/>
      <c r="G30" s="5">
        <f t="shared" si="2"/>
        <v>0</v>
      </c>
      <c r="H30" s="5">
        <f t="shared" si="3"/>
        <v>0</v>
      </c>
      <c r="I30" s="5"/>
      <c r="J30" s="5"/>
      <c r="K30" s="5"/>
      <c r="L30" s="5"/>
      <c r="M30" s="5"/>
      <c r="N30" s="5"/>
    </row>
    <row r="31" spans="1:15" x14ac:dyDescent="0.35">
      <c r="B31" s="75"/>
      <c r="F31" s="5"/>
      <c r="G31" s="5"/>
      <c r="H31" s="5"/>
      <c r="I31" s="5"/>
      <c r="J31" s="5"/>
      <c r="K31" s="5"/>
      <c r="L31" s="5"/>
      <c r="M31" s="5"/>
      <c r="N31" s="5"/>
    </row>
    <row r="32" spans="1:15" x14ac:dyDescent="0.35">
      <c r="F32" s="5"/>
      <c r="G32" s="5"/>
      <c r="H32" s="5"/>
      <c r="I32" s="5"/>
      <c r="J32" s="5"/>
      <c r="K32" s="5"/>
      <c r="L32" s="5"/>
      <c r="M32" s="5"/>
      <c r="N32" s="5"/>
    </row>
    <row r="33" spans="4:15" x14ac:dyDescent="0.35">
      <c r="D33" t="s">
        <v>79</v>
      </c>
      <c r="E33" s="11">
        <f>E28/E27</f>
        <v>0.3</v>
      </c>
      <c r="F33" s="5"/>
      <c r="G33" s="5">
        <f>F33/12</f>
        <v>0</v>
      </c>
      <c r="H33" s="5">
        <f t="shared" ref="H33:H44" si="12">G33/30</f>
        <v>0</v>
      </c>
      <c r="I33" s="5"/>
      <c r="J33" s="5"/>
      <c r="K33" s="5"/>
      <c r="L33" s="5"/>
      <c r="M33" s="5"/>
      <c r="N33" s="5"/>
    </row>
    <row r="34" spans="4:15" x14ac:dyDescent="0.35">
      <c r="F34" s="5"/>
      <c r="G34" s="5">
        <f>F34/12</f>
        <v>0</v>
      </c>
      <c r="H34" s="5">
        <f t="shared" si="12"/>
        <v>0</v>
      </c>
      <c r="I34" s="5"/>
      <c r="J34" s="5"/>
      <c r="K34" s="5"/>
      <c r="L34" s="5"/>
      <c r="M34" s="5"/>
      <c r="N34" s="5"/>
    </row>
    <row r="35" spans="4:15" x14ac:dyDescent="0.35">
      <c r="D35" t="s">
        <v>80</v>
      </c>
      <c r="E35" s="12">
        <f>E29/E4</f>
        <v>0.51168475431790494</v>
      </c>
      <c r="F35" s="12">
        <f>F29/F3</f>
        <v>0.50939195278223304</v>
      </c>
      <c r="G35" s="12">
        <f>F35/12</f>
        <v>4.244932939851942E-2</v>
      </c>
      <c r="H35" s="12">
        <f t="shared" si="12"/>
        <v>1.4149776466173139E-3</v>
      </c>
      <c r="I35" s="12">
        <f>I29/I3</f>
        <v>0.51019854577036783</v>
      </c>
      <c r="J35" s="12">
        <f>J29/J3</f>
        <v>0.51094491557863486</v>
      </c>
      <c r="K35" s="12">
        <f>K29/K3</f>
        <v>0.51163479301092352</v>
      </c>
      <c r="L35" s="12">
        <f>L29/L3</f>
        <v>0.51227165893917859</v>
      </c>
      <c r="M35" s="12">
        <f>M29/M3</f>
        <v>0.51285876048976964</v>
      </c>
      <c r="N35" s="12">
        <f>N29/N3</f>
        <v>0.51339912616633288</v>
      </c>
    </row>
    <row r="36" spans="4:15" x14ac:dyDescent="0.35">
      <c r="F36" s="5"/>
      <c r="G36" s="5">
        <f t="shared" ref="G36:G44" si="13">F36/12</f>
        <v>0</v>
      </c>
      <c r="H36" s="5">
        <f t="shared" si="12"/>
        <v>0</v>
      </c>
      <c r="I36" s="5"/>
      <c r="J36" s="5"/>
      <c r="K36" s="5"/>
      <c r="L36" s="5"/>
      <c r="M36" s="5"/>
      <c r="N36" s="5"/>
    </row>
    <row r="37" spans="4:15" x14ac:dyDescent="0.35">
      <c r="F37" s="13"/>
      <c r="G37" s="13">
        <f t="shared" si="13"/>
        <v>0</v>
      </c>
      <c r="H37" s="13">
        <f t="shared" si="12"/>
        <v>0</v>
      </c>
      <c r="I37" s="5"/>
      <c r="J37" s="5"/>
      <c r="K37" s="5"/>
      <c r="L37" s="5"/>
      <c r="M37" s="5"/>
      <c r="N37" s="5"/>
    </row>
    <row r="38" spans="4:15" x14ac:dyDescent="0.35">
      <c r="F38" s="5"/>
      <c r="G38" s="5">
        <f t="shared" si="13"/>
        <v>0</v>
      </c>
      <c r="H38" s="5">
        <f t="shared" si="12"/>
        <v>0</v>
      </c>
      <c r="I38" s="5"/>
      <c r="J38" s="5"/>
      <c r="K38" s="5"/>
      <c r="L38" s="5"/>
      <c r="M38" s="5"/>
      <c r="N38" s="5"/>
    </row>
    <row r="39" spans="4:15" x14ac:dyDescent="0.35">
      <c r="D39" t="s">
        <v>77</v>
      </c>
      <c r="F39" s="5"/>
      <c r="G39" s="5">
        <f t="shared" si="13"/>
        <v>0</v>
      </c>
      <c r="H39" s="5">
        <f t="shared" si="12"/>
        <v>0</v>
      </c>
      <c r="I39" s="5"/>
      <c r="J39" s="5"/>
      <c r="K39" s="5"/>
      <c r="L39" s="5"/>
      <c r="M39" s="5"/>
      <c r="N39" s="5"/>
    </row>
    <row r="40" spans="4:15" x14ac:dyDescent="0.35">
      <c r="D40" t="s">
        <v>81</v>
      </c>
      <c r="F40" s="5">
        <f>F27</f>
        <v>80565018.515004098</v>
      </c>
      <c r="G40" s="5">
        <f t="shared" si="13"/>
        <v>6713751.5429170085</v>
      </c>
      <c r="H40" s="5">
        <f t="shared" si="12"/>
        <v>223791.71809723362</v>
      </c>
      <c r="I40" s="5">
        <f t="shared" ref="I40:N40" si="14">I27</f>
        <v>86341069.811054394</v>
      </c>
      <c r="J40" s="5">
        <f t="shared" si="14"/>
        <v>92520094.697828233</v>
      </c>
      <c r="K40" s="5">
        <f t="shared" si="14"/>
        <v>99130166.32667619</v>
      </c>
      <c r="L40" s="5">
        <f t="shared" si="14"/>
        <v>106201309.46954353</v>
      </c>
      <c r="M40" s="5">
        <f t="shared" si="14"/>
        <v>113765635.78241159</v>
      </c>
      <c r="N40" s="5">
        <f t="shared" si="14"/>
        <v>121857488.4021804</v>
      </c>
    </row>
    <row r="41" spans="4:15" x14ac:dyDescent="0.35">
      <c r="D41" t="s">
        <v>68</v>
      </c>
      <c r="F41" s="5"/>
      <c r="G41" s="5">
        <f t="shared" si="13"/>
        <v>0</v>
      </c>
      <c r="H41" s="5">
        <f t="shared" si="12"/>
        <v>0</v>
      </c>
      <c r="I41" s="5"/>
      <c r="J41" s="5"/>
      <c r="K41" s="5"/>
      <c r="L41" s="5"/>
      <c r="M41" s="5"/>
      <c r="N41" s="5"/>
    </row>
    <row r="42" spans="4:15" x14ac:dyDescent="0.35">
      <c r="D42" t="s">
        <v>82</v>
      </c>
      <c r="F42" s="10">
        <f>[2]Leasing!E4*12</f>
        <v>0</v>
      </c>
      <c r="G42" s="10">
        <f t="shared" si="13"/>
        <v>0</v>
      </c>
      <c r="H42" s="10">
        <f t="shared" si="12"/>
        <v>0</v>
      </c>
      <c r="I42" s="10">
        <f>F42</f>
        <v>0</v>
      </c>
      <c r="J42" s="10">
        <f>I42</f>
        <v>0</v>
      </c>
      <c r="K42" s="10">
        <f>J42</f>
        <v>0</v>
      </c>
      <c r="L42" s="10">
        <f>K42</f>
        <v>0</v>
      </c>
      <c r="M42" s="10"/>
      <c r="N42" s="10"/>
    </row>
    <row r="43" spans="4:15" x14ac:dyDescent="0.35">
      <c r="F43" s="5">
        <f>SUM(F40:F42)</f>
        <v>80565018.515004098</v>
      </c>
      <c r="G43" s="5">
        <f t="shared" si="13"/>
        <v>6713751.5429170085</v>
      </c>
      <c r="H43" s="5">
        <f t="shared" si="12"/>
        <v>223791.71809723362</v>
      </c>
      <c r="I43" s="5">
        <f t="shared" ref="I43:N43" si="15">SUM(I40:I42)</f>
        <v>86341069.811054394</v>
      </c>
      <c r="J43" s="5">
        <f t="shared" si="15"/>
        <v>92520094.697828233</v>
      </c>
      <c r="K43" s="5">
        <f t="shared" si="15"/>
        <v>99130166.32667619</v>
      </c>
      <c r="L43" s="5">
        <f t="shared" si="15"/>
        <v>106201309.46954353</v>
      </c>
      <c r="M43" s="5">
        <f t="shared" si="15"/>
        <v>113765635.78241159</v>
      </c>
      <c r="N43" s="5">
        <f t="shared" si="15"/>
        <v>121857488.4021804</v>
      </c>
    </row>
    <row r="44" spans="4:15" ht="15" thickBot="1" x14ac:dyDescent="0.4">
      <c r="D44" t="s">
        <v>83</v>
      </c>
      <c r="F44" s="14">
        <f>F43*0.3</f>
        <v>24169505.554501228</v>
      </c>
      <c r="G44" s="14">
        <f t="shared" si="13"/>
        <v>2014125.4628751024</v>
      </c>
      <c r="H44" s="14">
        <f t="shared" si="12"/>
        <v>67137.515429170075</v>
      </c>
      <c r="I44" s="14">
        <f t="shared" ref="I44:N44" si="16">I43*0.3</f>
        <v>25902320.943316318</v>
      </c>
      <c r="J44" s="14">
        <f t="shared" si="16"/>
        <v>27756028.409348469</v>
      </c>
      <c r="K44" s="14">
        <f t="shared" si="16"/>
        <v>29739049.898002855</v>
      </c>
      <c r="L44" s="14">
        <f t="shared" si="16"/>
        <v>31860392.840863056</v>
      </c>
      <c r="M44" s="14">
        <f t="shared" si="16"/>
        <v>34129690.734723479</v>
      </c>
      <c r="N44" s="14">
        <f t="shared" si="16"/>
        <v>36557246.52065412</v>
      </c>
    </row>
    <row r="45" spans="4:15" ht="15" thickTop="1" x14ac:dyDescent="0.35">
      <c r="D45" t="s">
        <v>84</v>
      </c>
      <c r="F45" s="5">
        <f>F4*4%</f>
        <v>4428457.3128788443</v>
      </c>
      <c r="G45" s="5">
        <f>G4*4%</f>
        <v>369038.10940657038</v>
      </c>
      <c r="H45" s="5">
        <f>H4*4%</f>
        <v>12301.270313552346</v>
      </c>
      <c r="I45" s="5">
        <f>I4*4%</f>
        <v>4738449.3247803636</v>
      </c>
      <c r="J45" s="5">
        <f>J4*4%</f>
        <v>5070140.7775149895</v>
      </c>
      <c r="K45" s="5">
        <f>K4*4%</f>
        <v>5425050.6319410382</v>
      </c>
      <c r="L45" s="5">
        <f>L4*4%</f>
        <v>5804804.1761769122</v>
      </c>
      <c r="M45" s="5">
        <f>M4*4%</f>
        <v>6211140.468509296</v>
      </c>
      <c r="N45" s="5">
        <f>N4*4%</f>
        <v>6645920.3013049476</v>
      </c>
    </row>
    <row r="47" spans="4:15" ht="15" thickBot="1" x14ac:dyDescent="0.4"/>
    <row r="48" spans="4:15" x14ac:dyDescent="0.35">
      <c r="D48" s="52" t="s">
        <v>108</v>
      </c>
      <c r="E48" s="53"/>
      <c r="F48" s="53"/>
      <c r="G48" s="53"/>
      <c r="H48" s="53"/>
      <c r="I48" s="53"/>
      <c r="J48" s="53"/>
      <c r="K48" s="53"/>
      <c r="L48" s="53"/>
      <c r="M48" s="53"/>
      <c r="N48" s="53"/>
      <c r="O48" s="54"/>
    </row>
    <row r="49" spans="4:15" x14ac:dyDescent="0.35">
      <c r="D49" s="55"/>
      <c r="O49" s="56"/>
    </row>
    <row r="50" spans="4:15" s="50" customFormat="1" x14ac:dyDescent="0.35">
      <c r="D50" s="57" t="s">
        <v>53</v>
      </c>
      <c r="F50" s="50">
        <v>0</v>
      </c>
      <c r="I50" s="50">
        <f>F50+1</f>
        <v>1</v>
      </c>
      <c r="J50" s="50">
        <f>I50+1</f>
        <v>2</v>
      </c>
      <c r="K50" s="50">
        <f t="shared" ref="K50:O50" si="17">J50+1</f>
        <v>3</v>
      </c>
      <c r="L50" s="50">
        <f t="shared" si="17"/>
        <v>4</v>
      </c>
      <c r="M50" s="50">
        <f t="shared" si="17"/>
        <v>5</v>
      </c>
      <c r="N50" s="50">
        <f t="shared" si="17"/>
        <v>6</v>
      </c>
      <c r="O50" s="58">
        <f t="shared" si="17"/>
        <v>7</v>
      </c>
    </row>
    <row r="51" spans="4:15" x14ac:dyDescent="0.35">
      <c r="D51" s="59"/>
      <c r="O51" s="56"/>
    </row>
    <row r="52" spans="4:15" x14ac:dyDescent="0.35">
      <c r="D52" s="59" t="s">
        <v>102</v>
      </c>
      <c r="E52" s="60">
        <v>0.15</v>
      </c>
      <c r="O52" s="56"/>
    </row>
    <row r="53" spans="4:15" x14ac:dyDescent="0.35">
      <c r="D53" s="59"/>
      <c r="O53" s="56"/>
    </row>
    <row r="54" spans="4:15" x14ac:dyDescent="0.35">
      <c r="D54" s="59" t="s">
        <v>95</v>
      </c>
      <c r="F54" s="61">
        <f>-'Data Sheet'!B43</f>
        <v>-15000000</v>
      </c>
      <c r="G54" s="61"/>
      <c r="H54" s="61"/>
      <c r="I54" s="61"/>
      <c r="J54" s="61"/>
      <c r="K54" s="61"/>
      <c r="L54" s="61"/>
      <c r="M54" s="61"/>
      <c r="N54" s="61"/>
      <c r="O54" s="56"/>
    </row>
    <row r="55" spans="4:15" x14ac:dyDescent="0.35">
      <c r="D55" s="59" t="s">
        <v>107</v>
      </c>
      <c r="F55" s="61"/>
      <c r="G55" s="61"/>
      <c r="H55" s="61"/>
      <c r="I55" s="61"/>
      <c r="J55" s="61"/>
      <c r="K55" s="61"/>
      <c r="L55" s="61"/>
      <c r="M55" s="61"/>
      <c r="N55" s="61"/>
      <c r="O55" s="56"/>
    </row>
    <row r="56" spans="4:15" x14ac:dyDescent="0.35">
      <c r="D56" s="59"/>
      <c r="F56" s="61"/>
      <c r="G56" s="61"/>
      <c r="H56" s="61"/>
      <c r="I56" s="61"/>
      <c r="J56" s="61"/>
      <c r="K56" s="61"/>
      <c r="L56" s="61"/>
      <c r="M56" s="61"/>
      <c r="N56" s="61"/>
      <c r="O56" s="56"/>
    </row>
    <row r="57" spans="4:15" x14ac:dyDescent="0.35">
      <c r="D57" s="59" t="s">
        <v>96</v>
      </c>
      <c r="F57" s="61"/>
      <c r="G57" s="61"/>
      <c r="H57" s="61"/>
      <c r="I57" s="61"/>
      <c r="J57" s="61"/>
      <c r="K57" s="61"/>
      <c r="L57" s="61"/>
      <c r="M57" s="61"/>
      <c r="N57" s="61"/>
      <c r="O57" s="56"/>
    </row>
    <row r="58" spans="4:15" x14ac:dyDescent="0.35">
      <c r="D58" s="59" t="s">
        <v>97</v>
      </c>
      <c r="F58" s="61"/>
      <c r="G58" s="61"/>
      <c r="H58" s="61"/>
      <c r="I58" s="61">
        <f>F29</f>
        <v>56395512.96050287</v>
      </c>
      <c r="J58" s="61">
        <f>I29</f>
        <v>60438748.867738076</v>
      </c>
      <c r="K58" s="61">
        <f t="shared" ref="K58:O58" si="18">J29</f>
        <v>64764066.28847976</v>
      </c>
      <c r="L58" s="61">
        <f t="shared" si="18"/>
        <v>69391116.428673327</v>
      </c>
      <c r="M58" s="61">
        <f t="shared" si="18"/>
        <v>74340916.628680468</v>
      </c>
      <c r="N58" s="61">
        <f t="shared" si="18"/>
        <v>79635945.047688112</v>
      </c>
      <c r="O58" s="62">
        <f t="shared" si="18"/>
        <v>85300241.881526291</v>
      </c>
    </row>
    <row r="59" spans="4:15" x14ac:dyDescent="0.35">
      <c r="D59" s="59" t="s">
        <v>98</v>
      </c>
      <c r="F59" s="61"/>
      <c r="G59" s="61"/>
      <c r="H59" s="61"/>
      <c r="I59" s="61">
        <f>F10</f>
        <v>2142857.1428571432</v>
      </c>
      <c r="J59" s="61">
        <f>I10</f>
        <v>2142857.1428571432</v>
      </c>
      <c r="K59" s="61">
        <f>J10</f>
        <v>2142857.1428571432</v>
      </c>
      <c r="L59" s="61">
        <f>K10</f>
        <v>2142857.1428571432</v>
      </c>
      <c r="M59" s="61">
        <f>L10</f>
        <v>2142857.1428571432</v>
      </c>
      <c r="N59" s="61">
        <f>M10</f>
        <v>2142857.1428571432</v>
      </c>
      <c r="O59" s="62">
        <f>N10</f>
        <v>2142857.1428571432</v>
      </c>
    </row>
    <row r="60" spans="4:15" x14ac:dyDescent="0.35">
      <c r="D60" s="59" t="s">
        <v>99</v>
      </c>
      <c r="F60" s="61"/>
      <c r="G60" s="61"/>
      <c r="H60" s="61"/>
      <c r="I60" s="61">
        <f>F26</f>
        <v>0</v>
      </c>
      <c r="J60" s="61">
        <f>I26</f>
        <v>0</v>
      </c>
      <c r="K60" s="61">
        <f t="shared" ref="K60:O60" si="19">J26</f>
        <v>0</v>
      </c>
      <c r="L60" s="61">
        <f t="shared" si="19"/>
        <v>0</v>
      </c>
      <c r="M60" s="61">
        <f t="shared" si="19"/>
        <v>0</v>
      </c>
      <c r="N60" s="61">
        <f t="shared" si="19"/>
        <v>0</v>
      </c>
      <c r="O60" s="62">
        <f t="shared" si="19"/>
        <v>0</v>
      </c>
    </row>
    <row r="61" spans="4:15" x14ac:dyDescent="0.35">
      <c r="D61" s="59" t="s">
        <v>100</v>
      </c>
      <c r="F61" s="51">
        <f>0</f>
        <v>0</v>
      </c>
      <c r="G61" s="51"/>
      <c r="H61" s="51"/>
      <c r="I61" s="51">
        <f t="shared" ref="I61:O61" si="20">SUM(I58:I60)</f>
        <v>58538370.103360012</v>
      </c>
      <c r="J61" s="51">
        <f t="shared" si="20"/>
        <v>62581606.010595217</v>
      </c>
      <c r="K61" s="51">
        <f t="shared" si="20"/>
        <v>66906923.431336902</v>
      </c>
      <c r="L61" s="51">
        <f t="shared" si="20"/>
        <v>71533973.571530476</v>
      </c>
      <c r="M61" s="51">
        <f t="shared" si="20"/>
        <v>76483773.771537617</v>
      </c>
      <c r="N61" s="51">
        <f t="shared" si="20"/>
        <v>81778802.190545261</v>
      </c>
      <c r="O61" s="63">
        <f t="shared" si="20"/>
        <v>87443099.024383441</v>
      </c>
    </row>
    <row r="62" spans="4:15" x14ac:dyDescent="0.35">
      <c r="D62" s="59"/>
      <c r="F62" s="61"/>
      <c r="G62" s="61"/>
      <c r="H62" s="61"/>
      <c r="I62" s="61"/>
      <c r="J62" s="61"/>
      <c r="K62" s="61"/>
      <c r="L62" s="61"/>
      <c r="M62" s="61"/>
      <c r="N62" s="61"/>
      <c r="O62" s="56"/>
    </row>
    <row r="63" spans="4:15" x14ac:dyDescent="0.35">
      <c r="D63" s="55" t="s">
        <v>101</v>
      </c>
      <c r="E63" s="41"/>
      <c r="F63" s="51">
        <f>F54+F61</f>
        <v>-15000000</v>
      </c>
      <c r="G63" s="51"/>
      <c r="H63" s="51"/>
      <c r="I63" s="51">
        <f t="shared" ref="I63:O63" si="21">I54+I61</f>
        <v>58538370.103360012</v>
      </c>
      <c r="J63" s="51">
        <f t="shared" si="21"/>
        <v>62581606.010595217</v>
      </c>
      <c r="K63" s="51">
        <f t="shared" si="21"/>
        <v>66906923.431336902</v>
      </c>
      <c r="L63" s="51">
        <f t="shared" si="21"/>
        <v>71533973.571530476</v>
      </c>
      <c r="M63" s="51">
        <f t="shared" si="21"/>
        <v>76483773.771537617</v>
      </c>
      <c r="N63" s="51">
        <f t="shared" si="21"/>
        <v>81778802.190545261</v>
      </c>
      <c r="O63" s="63">
        <f t="shared" si="21"/>
        <v>87443099.024383441</v>
      </c>
    </row>
    <row r="64" spans="4:15" x14ac:dyDescent="0.35">
      <c r="D64" s="59" t="s">
        <v>103</v>
      </c>
      <c r="F64" s="64">
        <f>(1/(1+$E$52)^F50)</f>
        <v>1</v>
      </c>
      <c r="G64" s="64"/>
      <c r="H64" s="64"/>
      <c r="I64" s="64">
        <f t="shared" ref="I64:O64" si="22">(1/(1+$E$52)^I50)</f>
        <v>0.86956521739130443</v>
      </c>
      <c r="J64" s="64">
        <f t="shared" si="22"/>
        <v>0.7561436672967865</v>
      </c>
      <c r="K64" s="64">
        <f t="shared" si="22"/>
        <v>0.65751623243198831</v>
      </c>
      <c r="L64" s="64">
        <f t="shared" si="22"/>
        <v>0.57175324559303342</v>
      </c>
      <c r="M64" s="64">
        <f t="shared" si="22"/>
        <v>0.49717673529828987</v>
      </c>
      <c r="N64" s="64">
        <f t="shared" si="22"/>
        <v>0.43232759591155645</v>
      </c>
      <c r="O64" s="65">
        <f t="shared" si="22"/>
        <v>0.37593703992309269</v>
      </c>
    </row>
    <row r="65" spans="4:15" x14ac:dyDescent="0.35">
      <c r="D65" s="59" t="s">
        <v>104</v>
      </c>
      <c r="F65" s="51">
        <f>F63*F64</f>
        <v>-15000000</v>
      </c>
      <c r="G65" s="51"/>
      <c r="H65" s="51"/>
      <c r="I65" s="51">
        <f t="shared" ref="I65:O65" si="23">I63*I64</f>
        <v>50902930.524660885</v>
      </c>
      <c r="J65" s="51">
        <f t="shared" si="23"/>
        <v>47320685.074174084</v>
      </c>
      <c r="K65" s="51">
        <f t="shared" si="23"/>
        <v>43992388.218188159</v>
      </c>
      <c r="L65" s="51">
        <f t="shared" si="23"/>
        <v>40899781.559688829</v>
      </c>
      <c r="M65" s="51">
        <f t="shared" si="23"/>
        <v>38025952.947026044</v>
      </c>
      <c r="N65" s="51">
        <f t="shared" si="23"/>
        <v>35355232.947565161</v>
      </c>
      <c r="O65" s="63">
        <f t="shared" si="23"/>
        <v>32873099.808928583</v>
      </c>
    </row>
    <row r="66" spans="4:15" x14ac:dyDescent="0.35">
      <c r="D66" s="59" t="s">
        <v>105</v>
      </c>
      <c r="F66" s="66">
        <f>SUM(F65:O65)</f>
        <v>274370071.08023179</v>
      </c>
      <c r="O66" s="56"/>
    </row>
    <row r="67" spans="4:15" ht="15" thickBot="1" x14ac:dyDescent="0.4">
      <c r="D67" s="67" t="s">
        <v>106</v>
      </c>
      <c r="E67" s="68"/>
      <c r="F67" s="69">
        <f>IRR((F65:O65),15%)</f>
        <v>3.3230929436614014</v>
      </c>
      <c r="G67" s="68"/>
      <c r="H67" s="68"/>
      <c r="I67" s="68"/>
      <c r="J67" s="68"/>
      <c r="K67" s="68"/>
      <c r="L67" s="68"/>
      <c r="M67" s="68"/>
      <c r="N67" s="68"/>
      <c r="O67" s="70"/>
    </row>
  </sheetData>
  <mergeCells count="1">
    <mergeCell ref="B27:B31"/>
  </mergeCells>
  <pageMargins left="0.7" right="0.7" top="0.75" bottom="0.75" header="0.3" footer="0.3"/>
  <pageSetup scale="5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 Sheet</vt:lpstr>
      <vt:lpstr>Amendment Sheet</vt:lpstr>
      <vt:lpstr>Data Sheet</vt:lpstr>
      <vt:lpstr>Cash Flow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saima batool</dc:creator>
  <cp:lastModifiedBy>Arslan Ali</cp:lastModifiedBy>
  <cp:lastPrinted>2025-05-29T18:48:10Z</cp:lastPrinted>
  <dcterms:created xsi:type="dcterms:W3CDTF">2025-05-12T16:17:03Z</dcterms:created>
  <dcterms:modified xsi:type="dcterms:W3CDTF">2025-11-25T18:43:47Z</dcterms:modified>
</cp:coreProperties>
</file>