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Work\QACO\BP3A\MVTP\Final shared\"/>
    </mc:Choice>
  </mc:AlternateContent>
  <xr:revisionPtr revIDLastSave="0" documentId="13_ncr:1_{2CB88D61-238B-4400-8375-A3A9BBAD7536}" xr6:coauthVersionLast="47" xr6:coauthVersionMax="47" xr10:uidLastSave="{00000000-0000-0000-0000-000000000000}"/>
  <bookViews>
    <workbookView xWindow="-108" yWindow="-108" windowWidth="23256" windowHeight="12456" firstSheet="5" activeTab="13" xr2:uid="{00000000-000D-0000-FFFF-FFFF00000000}"/>
  </bookViews>
  <sheets>
    <sheet name="Sheet2" sheetId="11" state="hidden" r:id="rId1"/>
    <sheet name="Cover" sheetId="2" r:id="rId2"/>
    <sheet name="MC " sheetId="4" r:id="rId3"/>
    <sheet name="CAPEX - Summary" sheetId="12" r:id="rId4"/>
    <sheet name="Component 1- Electric Work" sheetId="13" r:id="rId5"/>
    <sheet name="Component 2- Plumbing Work" sheetId="14" r:id="rId6"/>
    <sheet name="Component 3- STP " sheetId="15" r:id="rId7"/>
    <sheet name="FA" sheetId="17" r:id="rId8"/>
    <sheet name="Working" sheetId="5" r:id="rId9"/>
    <sheet name="PnL" sheetId="6" r:id="rId10"/>
    <sheet name="BS" sheetId="7" r:id="rId11"/>
    <sheet name="CF" sheetId="8" r:id="rId12"/>
    <sheet name="PR" sheetId="9" r:id="rId13"/>
    <sheet name="FP" sheetId="18" r:id="rId14"/>
  </sheets>
  <definedNames>
    <definedName name="_xlnm.Print_Area" localSheetId="10">BS!$A$1:$J$50</definedName>
    <definedName name="_xlnm.Print_Area" localSheetId="11">CF!$A$1:$J$48</definedName>
    <definedName name="_xlnm.Print_Area" localSheetId="1">Cover!$A$1:$P$38</definedName>
    <definedName name="_xlnm.Print_Area" localSheetId="13">FP!$A$1:$K$15</definedName>
    <definedName name="_xlnm.Print_Area" localSheetId="2">'MC '!$A$1:$I$158</definedName>
    <definedName name="_xlnm.Print_Area" localSheetId="9">PnL!$A$1:$J$48</definedName>
    <definedName name="_xlnm.Print_Area" localSheetId="12">PR!$A$1:$K$15</definedName>
    <definedName name="_xlnm.Print_Area" localSheetId="8">Working!$A$1:$J$60</definedName>
    <definedName name="_xlnm.Print_Titles" localSheetId="10">BS!$1:$5</definedName>
    <definedName name="_xlnm.Print_Titles" localSheetId="11">CF!$1:$5</definedName>
    <definedName name="_xlnm.Print_Titles" localSheetId="13">FP!$1:$5</definedName>
    <definedName name="_xlnm.Print_Titles" localSheetId="2">'MC '!$1:$5</definedName>
    <definedName name="_xlnm.Print_Titles" localSheetId="9">PnL!$1:$5</definedName>
    <definedName name="_xlnm.Print_Titles" localSheetId="12">PR!$1:$5</definedName>
    <definedName name="_xlnm.Print_Titles" localSheetId="8">Working!$1:$5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5" l="1"/>
  <c r="F242" i="15"/>
  <c r="B10" i="17" l="1"/>
  <c r="B11" i="17"/>
  <c r="B7" i="15"/>
  <c r="B12" i="17" s="1"/>
  <c r="B8" i="15"/>
  <c r="B13" i="17" s="1"/>
  <c r="B9" i="15"/>
  <c r="B14" i="17" s="1"/>
  <c r="F9" i="15"/>
  <c r="C14" i="17" s="1"/>
  <c r="F194" i="15"/>
  <c r="F245" i="15"/>
  <c r="F244" i="15"/>
  <c r="F8" i="15" s="1"/>
  <c r="C13" i="17" s="1"/>
  <c r="F13" i="17" s="1"/>
  <c r="F243" i="15"/>
  <c r="F7" i="15" s="1"/>
  <c r="F241" i="15"/>
  <c r="F201" i="15"/>
  <c r="F237" i="15"/>
  <c r="F146" i="15"/>
  <c r="F71" i="15"/>
  <c r="G13" i="17" l="1"/>
  <c r="H13" i="17" s="1"/>
  <c r="I13" i="17" s="1"/>
  <c r="J13" i="17" s="1"/>
  <c r="K13" i="17" s="1"/>
  <c r="C12" i="17"/>
  <c r="F12" i="17" s="1"/>
  <c r="G12" i="17" s="1"/>
  <c r="H12" i="17" s="1"/>
  <c r="B9" i="17"/>
  <c r="L13" i="17" l="1"/>
  <c r="F14" i="17"/>
  <c r="G14" i="17" s="1"/>
  <c r="I12" i="17"/>
  <c r="M13" i="17" l="1"/>
  <c r="N13" i="17" s="1"/>
  <c r="H14" i="17"/>
  <c r="I14" i="17" s="1"/>
  <c r="J12" i="17"/>
  <c r="K12" i="17" s="1"/>
  <c r="L12" i="17" s="1"/>
  <c r="O13" i="17" l="1"/>
  <c r="P13" i="17" s="1"/>
  <c r="Q13" i="17" s="1"/>
  <c r="R13" i="17" s="1"/>
  <c r="M12" i="17"/>
  <c r="N12" i="17" s="1"/>
  <c r="J14" i="17"/>
  <c r="K14" i="17" s="1"/>
  <c r="S13" i="17" l="1"/>
  <c r="T13" i="17" s="1"/>
  <c r="O12" i="17"/>
  <c r="P12" i="17" s="1"/>
  <c r="L14" i="17"/>
  <c r="Q12" i="17" l="1"/>
  <c r="R12" i="17" s="1"/>
  <c r="M14" i="17"/>
  <c r="S12" i="17" l="1"/>
  <c r="T12" i="17" s="1"/>
  <c r="N14" i="17"/>
  <c r="O14" i="17" l="1"/>
  <c r="P14" i="17" l="1"/>
  <c r="Q14" i="17" s="1"/>
  <c r="R14" i="17" s="1"/>
  <c r="S14" i="17" s="1"/>
  <c r="T14" i="17" s="1"/>
  <c r="H85" i="4" l="1"/>
  <c r="B18" i="5"/>
  <c r="B31" i="5"/>
  <c r="C31" i="5" s="1"/>
  <c r="D31" i="5" s="1"/>
  <c r="E31" i="5" s="1"/>
  <c r="F31" i="5" s="1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B85" i="4"/>
  <c r="B94" i="4" l="1"/>
  <c r="B35" i="5" s="1"/>
  <c r="C35" i="5" s="1"/>
  <c r="D35" i="5" s="1"/>
  <c r="E35" i="5" s="1"/>
  <c r="F35" i="5" s="1"/>
  <c r="G35" i="5" s="1"/>
  <c r="H35" i="5" s="1"/>
  <c r="I35" i="5" s="1"/>
  <c r="J35" i="5" s="1"/>
  <c r="K35" i="5" s="1"/>
  <c r="L35" i="5" s="1"/>
  <c r="M35" i="5" s="1"/>
  <c r="N35" i="5" s="1"/>
  <c r="O35" i="5" s="1"/>
  <c r="P35" i="5" s="1"/>
  <c r="B34" i="5" l="1"/>
  <c r="C34" i="5" s="1"/>
  <c r="D34" i="5" s="1"/>
  <c r="E34" i="5" s="1"/>
  <c r="F34" i="5" s="1"/>
  <c r="G34" i="5" s="1"/>
  <c r="H34" i="5" s="1"/>
  <c r="I34" i="5" s="1"/>
  <c r="J34" i="5" s="1"/>
  <c r="K34" i="5" s="1"/>
  <c r="L34" i="5" s="1"/>
  <c r="M34" i="5" s="1"/>
  <c r="N34" i="5" s="1"/>
  <c r="O34" i="5" s="1"/>
  <c r="P34" i="5" s="1"/>
  <c r="G52" i="4"/>
  <c r="G47" i="4"/>
  <c r="G41" i="4"/>
  <c r="G36" i="4"/>
  <c r="G54" i="4"/>
  <c r="G53" i="4"/>
  <c r="G48" i="4"/>
  <c r="G51" i="4"/>
  <c r="G50" i="4"/>
  <c r="G46" i="4"/>
  <c r="G45" i="4"/>
  <c r="G42" i="4"/>
  <c r="G40" i="4"/>
  <c r="G39" i="4"/>
  <c r="G37" i="4"/>
  <c r="G35" i="4"/>
  <c r="G34" i="4"/>
  <c r="D26" i="4"/>
  <c r="B26" i="4" s="1"/>
  <c r="B25" i="4"/>
  <c r="C25" i="4"/>
  <c r="C24" i="4"/>
  <c r="B24" i="4"/>
  <c r="B14" i="5" l="1"/>
  <c r="B26" i="5"/>
  <c r="B17" i="5"/>
  <c r="B16" i="5"/>
  <c r="B15" i="5"/>
  <c r="C26" i="4"/>
  <c r="B20" i="5" l="1"/>
  <c r="B10" i="6" l="1"/>
  <c r="B30" i="6" s="1"/>
  <c r="B33" i="5"/>
  <c r="B32" i="5"/>
  <c r="B36" i="5" l="1"/>
  <c r="B12" i="6" s="1"/>
  <c r="F236" i="15" l="1"/>
  <c r="F235" i="15"/>
  <c r="F234" i="15"/>
  <c r="F233" i="15"/>
  <c r="F232" i="15"/>
  <c r="F231" i="15"/>
  <c r="F229" i="15"/>
  <c r="F228" i="15"/>
  <c r="F227" i="15"/>
  <c r="F226" i="15"/>
  <c r="F225" i="15"/>
  <c r="F224" i="15"/>
  <c r="F223" i="15"/>
  <c r="F222" i="15"/>
  <c r="F221" i="15"/>
  <c r="F220" i="15"/>
  <c r="F214" i="15"/>
  <c r="F213" i="15"/>
  <c r="F212" i="15"/>
  <c r="F211" i="15"/>
  <c r="F210" i="15"/>
  <c r="F209" i="15"/>
  <c r="F200" i="15"/>
  <c r="F199" i="15"/>
  <c r="F198" i="15"/>
  <c r="F197" i="15"/>
  <c r="F196" i="15"/>
  <c r="F195" i="15"/>
  <c r="F193" i="15"/>
  <c r="F192" i="15"/>
  <c r="F191" i="15"/>
  <c r="F190" i="15"/>
  <c r="F182" i="15"/>
  <c r="F181" i="15"/>
  <c r="F180" i="15"/>
  <c r="F179" i="15"/>
  <c r="F178" i="15"/>
  <c r="F177" i="15"/>
  <c r="F176" i="15"/>
  <c r="F175" i="15"/>
  <c r="F174" i="15"/>
  <c r="F173" i="15"/>
  <c r="F172" i="15"/>
  <c r="F165" i="15"/>
  <c r="F164" i="15"/>
  <c r="F163" i="15"/>
  <c r="F155" i="15"/>
  <c r="F156" i="15" s="1"/>
  <c r="F145" i="15"/>
  <c r="F144" i="15"/>
  <c r="F143" i="15"/>
  <c r="F142" i="15"/>
  <c r="F141" i="15"/>
  <c r="F140" i="15"/>
  <c r="F132" i="15"/>
  <c r="F131" i="15"/>
  <c r="F130" i="15"/>
  <c r="F129" i="15"/>
  <c r="F128" i="15"/>
  <c r="F127" i="15"/>
  <c r="F126" i="15"/>
  <c r="D118" i="15"/>
  <c r="F118" i="15" s="1"/>
  <c r="D117" i="15"/>
  <c r="F117" i="15" s="1"/>
  <c r="D116" i="15"/>
  <c r="F116" i="15" s="1"/>
  <c r="D115" i="15"/>
  <c r="F115" i="15" s="1"/>
  <c r="D114" i="15"/>
  <c r="F114" i="15" s="1"/>
  <c r="D107" i="15"/>
  <c r="F107" i="15" s="1"/>
  <c r="D106" i="15"/>
  <c r="F106" i="15" s="1"/>
  <c r="D105" i="15"/>
  <c r="F105" i="15" s="1"/>
  <c r="D104" i="15"/>
  <c r="F104" i="15" s="1"/>
  <c r="D103" i="15"/>
  <c r="F103" i="15" s="1"/>
  <c r="F95" i="15"/>
  <c r="F94" i="15"/>
  <c r="F93" i="15"/>
  <c r="F92" i="15"/>
  <c r="F91" i="15"/>
  <c r="F86" i="15"/>
  <c r="F85" i="15"/>
  <c r="F82" i="15"/>
  <c r="F81" i="15"/>
  <c r="F80" i="15"/>
  <c r="F79" i="15"/>
  <c r="F78" i="15"/>
  <c r="F77" i="15"/>
  <c r="F76" i="15"/>
  <c r="F70" i="15"/>
  <c r="F69" i="15"/>
  <c r="F68" i="15"/>
  <c r="F67" i="15"/>
  <c r="F59" i="15"/>
  <c r="F58" i="15"/>
  <c r="F57" i="15"/>
  <c r="F56" i="15"/>
  <c r="F55" i="15"/>
  <c r="F54" i="15"/>
  <c r="F53" i="15"/>
  <c r="F47" i="15"/>
  <c r="F46" i="15"/>
  <c r="F45" i="15"/>
  <c r="F44" i="15"/>
  <c r="F43" i="15"/>
  <c r="F42" i="15"/>
  <c r="F41" i="15"/>
  <c r="F40" i="15"/>
  <c r="F39" i="15"/>
  <c r="F33" i="15"/>
  <c r="F32" i="15"/>
  <c r="F31" i="15"/>
  <c r="F30" i="15"/>
  <c r="F29" i="15"/>
  <c r="F28" i="15"/>
  <c r="F27" i="15"/>
  <c r="F30" i="14"/>
  <c r="F29" i="14"/>
  <c r="F28" i="14"/>
  <c r="F27" i="14"/>
  <c r="F26" i="14"/>
  <c r="F25" i="14"/>
  <c r="F24" i="14"/>
  <c r="F23" i="14"/>
  <c r="F22" i="14"/>
  <c r="F19" i="14"/>
  <c r="F18" i="14"/>
  <c r="F17" i="14"/>
  <c r="F14" i="14"/>
  <c r="F13" i="14"/>
  <c r="F12" i="14"/>
  <c r="F61" i="13"/>
  <c r="F59" i="13"/>
  <c r="F57" i="13"/>
  <c r="F55" i="13"/>
  <c r="F52" i="13"/>
  <c r="F50" i="13"/>
  <c r="F49" i="13"/>
  <c r="F48" i="13"/>
  <c r="F45" i="13"/>
  <c r="F44" i="13"/>
  <c r="F43" i="13"/>
  <c r="F42" i="13"/>
  <c r="F41" i="13"/>
  <c r="F40" i="13"/>
  <c r="F37" i="13"/>
  <c r="F36" i="13"/>
  <c r="F32" i="13"/>
  <c r="F31" i="13"/>
  <c r="F28" i="13"/>
  <c r="F27" i="13"/>
  <c r="F26" i="13"/>
  <c r="F25" i="13"/>
  <c r="F22" i="13"/>
  <c r="F21" i="13"/>
  <c r="F20" i="13"/>
  <c r="F19" i="13"/>
  <c r="F16" i="13"/>
  <c r="F15" i="13"/>
  <c r="F12" i="13"/>
  <c r="F10" i="13"/>
  <c r="V31" i="5"/>
  <c r="F31" i="14" l="1"/>
  <c r="F62" i="13"/>
  <c r="B58" i="4" s="1"/>
  <c r="F147" i="15"/>
  <c r="F72" i="15"/>
  <c r="F133" i="15"/>
  <c r="F238" i="15"/>
  <c r="F202" i="15"/>
  <c r="F166" i="15"/>
  <c r="F246" i="15"/>
  <c r="F96" i="15"/>
  <c r="F5" i="15" s="1"/>
  <c r="C10" i="17" s="1"/>
  <c r="F34" i="15"/>
  <c r="F87" i="15"/>
  <c r="F6" i="15" s="1"/>
  <c r="C11" i="17" s="1"/>
  <c r="F183" i="15"/>
  <c r="F60" i="15"/>
  <c r="F48" i="15"/>
  <c r="F119" i="15"/>
  <c r="D43" i="11"/>
  <c r="E43" i="11"/>
  <c r="F43" i="11"/>
  <c r="G43" i="11"/>
  <c r="H43" i="11"/>
  <c r="I43" i="11"/>
  <c r="J43" i="11"/>
  <c r="K43" i="11"/>
  <c r="L43" i="11"/>
  <c r="C43" i="11"/>
  <c r="E42" i="11"/>
  <c r="F42" i="11"/>
  <c r="G42" i="11"/>
  <c r="H42" i="11"/>
  <c r="I42" i="11"/>
  <c r="J42" i="11"/>
  <c r="K42" i="11"/>
  <c r="L42" i="11"/>
  <c r="D42" i="11"/>
  <c r="C42" i="11"/>
  <c r="L41" i="11"/>
  <c r="K41" i="11"/>
  <c r="J41" i="11"/>
  <c r="I41" i="11"/>
  <c r="H41" i="11"/>
  <c r="G41" i="11"/>
  <c r="F41" i="11"/>
  <c r="E41" i="11"/>
  <c r="D41" i="11"/>
  <c r="C41" i="11"/>
  <c r="L40" i="11"/>
  <c r="K40" i="11"/>
  <c r="J40" i="11"/>
  <c r="I40" i="11"/>
  <c r="H40" i="11"/>
  <c r="G40" i="11"/>
  <c r="F40" i="11"/>
  <c r="E40" i="11"/>
  <c r="D40" i="11"/>
  <c r="C40" i="11"/>
  <c r="C8" i="12" l="1"/>
  <c r="B59" i="4"/>
  <c r="C7" i="12"/>
  <c r="C8" i="17"/>
  <c r="F8" i="17" s="1"/>
  <c r="G8" i="17" s="1"/>
  <c r="F11" i="15"/>
  <c r="F10" i="17"/>
  <c r="G10" i="17" s="1"/>
  <c r="F11" i="17"/>
  <c r="G11" i="17" s="1"/>
  <c r="H11" i="17" s="1"/>
  <c r="F248" i="15"/>
  <c r="B60" i="4" s="1"/>
  <c r="B31" i="9"/>
  <c r="B25" i="9" s="1"/>
  <c r="B61" i="4" l="1"/>
  <c r="H8" i="17"/>
  <c r="I8" i="17" s="1"/>
  <c r="H10" i="17"/>
  <c r="I10" i="17" s="1"/>
  <c r="I11" i="17"/>
  <c r="J11" i="17" s="1"/>
  <c r="K11" i="17" s="1"/>
  <c r="C9" i="12"/>
  <c r="C10" i="12" s="1"/>
  <c r="F13" i="15"/>
  <c r="C9" i="17"/>
  <c r="J8" i="17" l="1"/>
  <c r="J10" i="17"/>
  <c r="K10" i="17" s="1"/>
  <c r="L11" i="17"/>
  <c r="B63" i="4"/>
  <c r="B30" i="7" s="1"/>
  <c r="B14" i="9" s="1"/>
  <c r="B24" i="8"/>
  <c r="C17" i="17"/>
  <c r="F9" i="17"/>
  <c r="F17" i="17" s="1"/>
  <c r="C26" i="5"/>
  <c r="C18" i="5"/>
  <c r="C16" i="5"/>
  <c r="C14" i="5"/>
  <c r="C15" i="5"/>
  <c r="C17" i="5"/>
  <c r="K8" i="17" l="1"/>
  <c r="L8" i="17" s="1"/>
  <c r="M8" i="17" s="1"/>
  <c r="L10" i="17"/>
  <c r="M10" i="17" s="1"/>
  <c r="G9" i="17"/>
  <c r="G17" i="17" s="1"/>
  <c r="G16" i="17" s="1"/>
  <c r="C16" i="7" s="1"/>
  <c r="M11" i="17"/>
  <c r="F21" i="17"/>
  <c r="B18" i="6" s="1"/>
  <c r="F20" i="17"/>
  <c r="B13" i="6" s="1"/>
  <c r="F16" i="17"/>
  <c r="B16" i="7" s="1"/>
  <c r="D26" i="5"/>
  <c r="D18" i="5"/>
  <c r="C20" i="5"/>
  <c r="D14" i="5"/>
  <c r="D15" i="5"/>
  <c r="D16" i="5"/>
  <c r="D17" i="5"/>
  <c r="N8" i="17" l="1"/>
  <c r="G20" i="17"/>
  <c r="C13" i="6" s="1"/>
  <c r="C10" i="6"/>
  <c r="C30" i="6" s="1"/>
  <c r="G21" i="17"/>
  <c r="C18" i="6" s="1"/>
  <c r="H9" i="17"/>
  <c r="H17" i="17" s="1"/>
  <c r="H16" i="17" s="1"/>
  <c r="D16" i="7" s="1"/>
  <c r="N10" i="17"/>
  <c r="O10" i="17" s="1"/>
  <c r="P10" i="17" s="1"/>
  <c r="N11" i="17"/>
  <c r="E26" i="5"/>
  <c r="E18" i="5"/>
  <c r="C32" i="5"/>
  <c r="C33" i="5"/>
  <c r="D20" i="5"/>
  <c r="E16" i="5"/>
  <c r="E15" i="5"/>
  <c r="E17" i="5"/>
  <c r="E14" i="5"/>
  <c r="B24" i="7"/>
  <c r="B12" i="7"/>
  <c r="I9" i="17" l="1"/>
  <c r="I17" i="17" s="1"/>
  <c r="I21" i="17" s="1"/>
  <c r="E18" i="6" s="1"/>
  <c r="O8" i="17"/>
  <c r="P8" i="17" s="1"/>
  <c r="Q8" i="17" s="1"/>
  <c r="R8" i="17" s="1"/>
  <c r="S8" i="17" s="1"/>
  <c r="T8" i="17" s="1"/>
  <c r="D10" i="6"/>
  <c r="D30" i="6" s="1"/>
  <c r="H20" i="17"/>
  <c r="D13" i="6" s="1"/>
  <c r="H21" i="17"/>
  <c r="D18" i="6" s="1"/>
  <c r="Q10" i="17"/>
  <c r="R10" i="17" s="1"/>
  <c r="S10" i="17" s="1"/>
  <c r="T10" i="17" s="1"/>
  <c r="O11" i="17"/>
  <c r="F26" i="5"/>
  <c r="F18" i="5"/>
  <c r="C36" i="5"/>
  <c r="C12" i="6" s="1"/>
  <c r="D33" i="5"/>
  <c r="D32" i="5"/>
  <c r="E20" i="5"/>
  <c r="F17" i="5"/>
  <c r="F15" i="5"/>
  <c r="F16" i="5"/>
  <c r="F14" i="5"/>
  <c r="B15" i="8"/>
  <c r="B26" i="7"/>
  <c r="B17" i="8"/>
  <c r="I16" i="17" l="1"/>
  <c r="E16" i="7" s="1"/>
  <c r="I20" i="17"/>
  <c r="E13" i="6" s="1"/>
  <c r="J9" i="17"/>
  <c r="J17" i="17" s="1"/>
  <c r="J16" i="17" s="1"/>
  <c r="F16" i="7" s="1"/>
  <c r="E10" i="6"/>
  <c r="E30" i="6" s="1"/>
  <c r="P11" i="17"/>
  <c r="C24" i="7"/>
  <c r="C12" i="7"/>
  <c r="C15" i="8" s="1"/>
  <c r="D36" i="5"/>
  <c r="D12" i="6" s="1"/>
  <c r="G26" i="5"/>
  <c r="G18" i="5"/>
  <c r="E32" i="5"/>
  <c r="E33" i="5"/>
  <c r="F20" i="5"/>
  <c r="G15" i="5"/>
  <c r="G14" i="5"/>
  <c r="G16" i="5"/>
  <c r="G17" i="5"/>
  <c r="K9" i="17" l="1"/>
  <c r="L9" i="17" s="1"/>
  <c r="L17" i="17" s="1"/>
  <c r="J20" i="17"/>
  <c r="F13" i="6" s="1"/>
  <c r="J21" i="17"/>
  <c r="F18" i="6" s="1"/>
  <c r="F10" i="6"/>
  <c r="F30" i="6" s="1"/>
  <c r="Q11" i="17"/>
  <c r="R11" i="17" s="1"/>
  <c r="S11" i="17" s="1"/>
  <c r="T11" i="17" s="1"/>
  <c r="D24" i="7"/>
  <c r="D12" i="7"/>
  <c r="D15" i="8" s="1"/>
  <c r="C17" i="8"/>
  <c r="C26" i="7"/>
  <c r="H26" i="5"/>
  <c r="H18" i="5"/>
  <c r="E36" i="5"/>
  <c r="E12" i="6" s="1"/>
  <c r="F32" i="5"/>
  <c r="F33" i="5"/>
  <c r="G20" i="5"/>
  <c r="H17" i="5"/>
  <c r="H14" i="5"/>
  <c r="H15" i="5"/>
  <c r="H16" i="5"/>
  <c r="K17" i="17" l="1"/>
  <c r="K20" i="17" s="1"/>
  <c r="G13" i="6" s="1"/>
  <c r="M9" i="17"/>
  <c r="M17" i="17" s="1"/>
  <c r="G10" i="6"/>
  <c r="G30" i="6" s="1"/>
  <c r="L21" i="17"/>
  <c r="H18" i="6" s="1"/>
  <c r="L20" i="17"/>
  <c r="H13" i="6" s="1"/>
  <c r="D26" i="7"/>
  <c r="D17" i="8"/>
  <c r="E24" i="7"/>
  <c r="E12" i="7"/>
  <c r="E15" i="8" s="1"/>
  <c r="I26" i="5"/>
  <c r="I18" i="5"/>
  <c r="F36" i="5"/>
  <c r="F12" i="6" s="1"/>
  <c r="G33" i="5"/>
  <c r="G32" i="5"/>
  <c r="I17" i="5"/>
  <c r="I14" i="5"/>
  <c r="I15" i="5"/>
  <c r="I16" i="5"/>
  <c r="H20" i="5"/>
  <c r="M16" i="17" l="1"/>
  <c r="I16" i="7" s="1"/>
  <c r="K16" i="17"/>
  <c r="G16" i="7" s="1"/>
  <c r="L16" i="17"/>
  <c r="H16" i="7" s="1"/>
  <c r="K21" i="17"/>
  <c r="G18" i="6" s="1"/>
  <c r="N9" i="17"/>
  <c r="N17" i="17" s="1"/>
  <c r="H10" i="6"/>
  <c r="H30" i="6" s="1"/>
  <c r="G36" i="5"/>
  <c r="G12" i="6" s="1"/>
  <c r="G24" i="7" s="1"/>
  <c r="G26" i="7" s="1"/>
  <c r="M21" i="17"/>
  <c r="I18" i="6" s="1"/>
  <c r="M20" i="17"/>
  <c r="I13" i="6" s="1"/>
  <c r="E17" i="8"/>
  <c r="E26" i="7"/>
  <c r="F24" i="7"/>
  <c r="F12" i="7"/>
  <c r="F15" i="8" s="1"/>
  <c r="J26" i="5"/>
  <c r="J18" i="5"/>
  <c r="H32" i="5"/>
  <c r="H33" i="5"/>
  <c r="I20" i="5"/>
  <c r="J17" i="5"/>
  <c r="J15" i="5"/>
  <c r="J16" i="5"/>
  <c r="J14" i="5"/>
  <c r="O9" i="17" l="1"/>
  <c r="P9" i="17" s="1"/>
  <c r="I10" i="6"/>
  <c r="I30" i="6" s="1"/>
  <c r="G17" i="8"/>
  <c r="G12" i="7"/>
  <c r="G15" i="8" s="1"/>
  <c r="N16" i="17"/>
  <c r="J16" i="7" s="1"/>
  <c r="N20" i="17"/>
  <c r="J13" i="6" s="1"/>
  <c r="N21" i="17"/>
  <c r="J18" i="6" s="1"/>
  <c r="F26" i="7"/>
  <c r="F17" i="8"/>
  <c r="K26" i="5"/>
  <c r="K18" i="5"/>
  <c r="H36" i="5"/>
  <c r="H12" i="6" s="1"/>
  <c r="I32" i="5"/>
  <c r="I33" i="5"/>
  <c r="J20" i="5"/>
  <c r="K17" i="5"/>
  <c r="K14" i="5"/>
  <c r="K15" i="5"/>
  <c r="K16" i="5"/>
  <c r="O17" i="17" l="1"/>
  <c r="O21" i="17" s="1"/>
  <c r="K18" i="6" s="1"/>
  <c r="J10" i="6"/>
  <c r="J30" i="6" s="1"/>
  <c r="Q9" i="17"/>
  <c r="P17" i="17"/>
  <c r="H24" i="7"/>
  <c r="H12" i="7"/>
  <c r="H15" i="8" s="1"/>
  <c r="L26" i="5"/>
  <c r="L18" i="5"/>
  <c r="I36" i="5"/>
  <c r="I12" i="6" s="1"/>
  <c r="J32" i="5"/>
  <c r="J33" i="5"/>
  <c r="K20" i="5"/>
  <c r="L15" i="5"/>
  <c r="L17" i="5"/>
  <c r="L16" i="5"/>
  <c r="L14" i="5"/>
  <c r="O16" i="17" l="1"/>
  <c r="K16" i="7" s="1"/>
  <c r="O20" i="17"/>
  <c r="K13" i="6" s="1"/>
  <c r="K10" i="6"/>
  <c r="K30" i="6" s="1"/>
  <c r="P16" i="17"/>
  <c r="L16" i="7" s="1"/>
  <c r="P20" i="17"/>
  <c r="L13" i="6" s="1"/>
  <c r="P21" i="17"/>
  <c r="L18" i="6" s="1"/>
  <c r="R9" i="17"/>
  <c r="Q17" i="17"/>
  <c r="H26" i="7"/>
  <c r="H17" i="8"/>
  <c r="I24" i="7"/>
  <c r="I12" i="7"/>
  <c r="I15" i="8" s="1"/>
  <c r="M26" i="5"/>
  <c r="M18" i="5"/>
  <c r="J36" i="5"/>
  <c r="J12" i="6" s="1"/>
  <c r="K32" i="5"/>
  <c r="K33" i="5"/>
  <c r="L20" i="5"/>
  <c r="M17" i="5"/>
  <c r="M15" i="5"/>
  <c r="M16" i="5"/>
  <c r="M14" i="5"/>
  <c r="L10" i="6" l="1"/>
  <c r="L30" i="6" s="1"/>
  <c r="Q21" i="17"/>
  <c r="M18" i="6" s="1"/>
  <c r="Q20" i="17"/>
  <c r="M13" i="6" s="1"/>
  <c r="Q16" i="17"/>
  <c r="M16" i="7" s="1"/>
  <c r="S9" i="17"/>
  <c r="R17" i="17"/>
  <c r="I26" i="7"/>
  <c r="I17" i="8"/>
  <c r="J24" i="7"/>
  <c r="J12" i="7"/>
  <c r="N26" i="5"/>
  <c r="N18" i="5"/>
  <c r="K36" i="5"/>
  <c r="K12" i="6" s="1"/>
  <c r="L33" i="5"/>
  <c r="L32" i="5"/>
  <c r="M20" i="5"/>
  <c r="N16" i="5"/>
  <c r="N14" i="5"/>
  <c r="N17" i="5"/>
  <c r="N15" i="5"/>
  <c r="M10" i="6" l="1"/>
  <c r="M30" i="6" s="1"/>
  <c r="R21" i="17"/>
  <c r="N18" i="6" s="1"/>
  <c r="R20" i="17"/>
  <c r="N13" i="6" s="1"/>
  <c r="R16" i="17"/>
  <c r="N16" i="7" s="1"/>
  <c r="T9" i="17"/>
  <c r="T17" i="17" s="1"/>
  <c r="S17" i="17"/>
  <c r="K24" i="7"/>
  <c r="K12" i="7"/>
  <c r="K15" i="8" s="1"/>
  <c r="J26" i="7"/>
  <c r="J17" i="8"/>
  <c r="J15" i="8"/>
  <c r="O26" i="5"/>
  <c r="O18" i="5"/>
  <c r="L36" i="5"/>
  <c r="L12" i="6" s="1"/>
  <c r="M33" i="5"/>
  <c r="M32" i="5"/>
  <c r="N20" i="5"/>
  <c r="O14" i="5"/>
  <c r="O15" i="5"/>
  <c r="O17" i="5"/>
  <c r="O16" i="5"/>
  <c r="N10" i="6" l="1"/>
  <c r="N30" i="6" s="1"/>
  <c r="S21" i="17"/>
  <c r="O18" i="6" s="1"/>
  <c r="S20" i="17"/>
  <c r="O13" i="6" s="1"/>
  <c r="S16" i="17"/>
  <c r="O16" i="7" s="1"/>
  <c r="T21" i="17"/>
  <c r="P18" i="6" s="1"/>
  <c r="T20" i="17"/>
  <c r="P13" i="6" s="1"/>
  <c r="T16" i="17"/>
  <c r="P16" i="7" s="1"/>
  <c r="K26" i="7"/>
  <c r="K17" i="8"/>
  <c r="L12" i="7"/>
  <c r="L15" i="8" s="1"/>
  <c r="L24" i="7"/>
  <c r="P26" i="5"/>
  <c r="P18" i="5"/>
  <c r="M36" i="5"/>
  <c r="M12" i="6" s="1"/>
  <c r="N33" i="5"/>
  <c r="N32" i="5"/>
  <c r="P16" i="5"/>
  <c r="P17" i="5"/>
  <c r="P15" i="5"/>
  <c r="P14" i="5"/>
  <c r="O20" i="5"/>
  <c r="O10" i="6" l="1"/>
  <c r="O30" i="6" s="1"/>
  <c r="N36" i="5"/>
  <c r="N12" i="6" s="1"/>
  <c r="N12" i="7" s="1"/>
  <c r="M24" i="7"/>
  <c r="M12" i="7"/>
  <c r="M15" i="8" s="1"/>
  <c r="L17" i="8"/>
  <c r="L26" i="7"/>
  <c r="O33" i="5"/>
  <c r="O32" i="5"/>
  <c r="P20" i="5"/>
  <c r="B15" i="9"/>
  <c r="C17" i="6"/>
  <c r="P10" i="6" l="1"/>
  <c r="P30" i="6" s="1"/>
  <c r="N24" i="7"/>
  <c r="N17" i="8" s="1"/>
  <c r="N15" i="8"/>
  <c r="M17" i="8"/>
  <c r="M26" i="7"/>
  <c r="O36" i="5"/>
  <c r="O12" i="6" s="1"/>
  <c r="P33" i="5"/>
  <c r="P32" i="5"/>
  <c r="M17" i="6"/>
  <c r="M13" i="7"/>
  <c r="P17" i="6"/>
  <c r="P13" i="7"/>
  <c r="L17" i="6"/>
  <c r="L13" i="7"/>
  <c r="N17" i="6"/>
  <c r="N13" i="7"/>
  <c r="O17" i="6"/>
  <c r="O13" i="7"/>
  <c r="C12" i="9"/>
  <c r="C13" i="7"/>
  <c r="C38" i="7" s="1"/>
  <c r="B27" i="8"/>
  <c r="B29" i="8" s="1"/>
  <c r="C30" i="7"/>
  <c r="B12" i="8"/>
  <c r="B17" i="9"/>
  <c r="B17" i="6"/>
  <c r="H17" i="6"/>
  <c r="E17" i="6"/>
  <c r="D17" i="6"/>
  <c r="I17" i="6"/>
  <c r="G17" i="6"/>
  <c r="J17" i="6"/>
  <c r="F17" i="6"/>
  <c r="K17" i="6"/>
  <c r="N26" i="7" l="1"/>
  <c r="P36" i="5"/>
  <c r="P12" i="6" s="1"/>
  <c r="O12" i="7"/>
  <c r="O24" i="7"/>
  <c r="N38" i="7"/>
  <c r="O16" i="8"/>
  <c r="M38" i="7"/>
  <c r="N16" i="8"/>
  <c r="M16" i="8"/>
  <c r="L38" i="7"/>
  <c r="P16" i="8"/>
  <c r="D12" i="9"/>
  <c r="K13" i="7"/>
  <c r="D30" i="7"/>
  <c r="C27" i="8"/>
  <c r="C29" i="8" s="1"/>
  <c r="D13" i="7"/>
  <c r="D38" i="7" s="1"/>
  <c r="D39" i="7" s="1"/>
  <c r="J13" i="7"/>
  <c r="J38" i="7" s="1"/>
  <c r="E13" i="7"/>
  <c r="E38" i="7" s="1"/>
  <c r="H13" i="7"/>
  <c r="H38" i="7" s="1"/>
  <c r="F13" i="7"/>
  <c r="F38" i="7" s="1"/>
  <c r="B13" i="7"/>
  <c r="B38" i="7" s="1"/>
  <c r="B15" i="6"/>
  <c r="G13" i="7"/>
  <c r="G38" i="7" s="1"/>
  <c r="I13" i="7"/>
  <c r="I38" i="7" s="1"/>
  <c r="C39" i="11" l="1"/>
  <c r="B26" i="6"/>
  <c r="O26" i="7"/>
  <c r="O17" i="8"/>
  <c r="O15" i="8"/>
  <c r="O38" i="7"/>
  <c r="O39" i="7" s="1"/>
  <c r="C39" i="7"/>
  <c r="E13" i="9" s="1"/>
  <c r="B39" i="7"/>
  <c r="C13" i="9" s="1"/>
  <c r="P24" i="7"/>
  <c r="P12" i="7"/>
  <c r="G39" i="7"/>
  <c r="K38" i="7"/>
  <c r="L39" i="7" s="1"/>
  <c r="L16" i="8"/>
  <c r="M39" i="7"/>
  <c r="N39" i="7"/>
  <c r="E39" i="7"/>
  <c r="F13" i="9" s="1"/>
  <c r="F39" i="7"/>
  <c r="B20" i="6"/>
  <c r="B27" i="6" s="1"/>
  <c r="I39" i="7"/>
  <c r="H39" i="7"/>
  <c r="J39" i="7"/>
  <c r="D27" i="8"/>
  <c r="D29" i="8" s="1"/>
  <c r="E30" i="7"/>
  <c r="J16" i="8"/>
  <c r="I16" i="8"/>
  <c r="H16" i="8"/>
  <c r="B16" i="8"/>
  <c r="C16" i="8"/>
  <c r="G16" i="8"/>
  <c r="F16" i="8"/>
  <c r="K16" i="8"/>
  <c r="E16" i="8"/>
  <c r="D16" i="8"/>
  <c r="B22" i="6" l="1"/>
  <c r="B19" i="8" s="1"/>
  <c r="P38" i="7"/>
  <c r="P39" i="7" s="1"/>
  <c r="Q13" i="9" s="1"/>
  <c r="I13" i="9"/>
  <c r="P15" i="8"/>
  <c r="P17" i="8"/>
  <c r="P26" i="7"/>
  <c r="D13" i="9"/>
  <c r="O13" i="9"/>
  <c r="G13" i="9"/>
  <c r="K39" i="7"/>
  <c r="L13" i="9" s="1"/>
  <c r="K13" i="9"/>
  <c r="N13" i="9"/>
  <c r="P13" i="9"/>
  <c r="J13" i="9"/>
  <c r="H13" i="9"/>
  <c r="B11" i="8"/>
  <c r="F30" i="7"/>
  <c r="E27" i="8"/>
  <c r="E29" i="8" s="1"/>
  <c r="C12" i="8"/>
  <c r="C15" i="6"/>
  <c r="D39" i="11" l="1"/>
  <c r="C26" i="6"/>
  <c r="B24" i="6"/>
  <c r="B21" i="8"/>
  <c r="B31" i="8" s="1"/>
  <c r="B33" i="8" s="1"/>
  <c r="C32" i="8" s="1"/>
  <c r="M13" i="9"/>
  <c r="C20" i="6"/>
  <c r="C27" i="6" s="1"/>
  <c r="G30" i="7"/>
  <c r="F27" i="8"/>
  <c r="F29" i="8" s="1"/>
  <c r="C12" i="18" l="1"/>
  <c r="C14" i="18" s="1"/>
  <c r="C16" i="18" s="1"/>
  <c r="B28" i="6"/>
  <c r="C11" i="9"/>
  <c r="C15" i="9" s="1"/>
  <c r="C17" i="9" s="1"/>
  <c r="B11" i="7"/>
  <c r="B14" i="7" s="1"/>
  <c r="B17" i="7" s="1"/>
  <c r="B31" i="7"/>
  <c r="B32" i="7" s="1"/>
  <c r="B34" i="7" s="1"/>
  <c r="C22" i="6"/>
  <c r="C19" i="8" s="1"/>
  <c r="E12" i="9"/>
  <c r="C11" i="8"/>
  <c r="H30" i="7"/>
  <c r="G27" i="8"/>
  <c r="G29" i="8" s="1"/>
  <c r="B36" i="7" l="1"/>
  <c r="C24" i="6"/>
  <c r="C21" i="8"/>
  <c r="C31" i="8" s="1"/>
  <c r="C33" i="8" s="1"/>
  <c r="D32" i="8" s="1"/>
  <c r="I30" i="7"/>
  <c r="H27" i="8"/>
  <c r="H29" i="8" s="1"/>
  <c r="D12" i="18" l="1"/>
  <c r="D14" i="18" s="1"/>
  <c r="D16" i="18" s="1"/>
  <c r="C28" i="6"/>
  <c r="C31" i="7"/>
  <c r="C32" i="7" s="1"/>
  <c r="C34" i="7" s="1"/>
  <c r="D11" i="9"/>
  <c r="D15" i="9" s="1"/>
  <c r="D17" i="9" s="1"/>
  <c r="C11" i="7"/>
  <c r="C14" i="7" s="1"/>
  <c r="C17" i="7" s="1"/>
  <c r="I27" i="8"/>
  <c r="I29" i="8" s="1"/>
  <c r="J30" i="7"/>
  <c r="D12" i="8"/>
  <c r="D15" i="6"/>
  <c r="E39" i="11" l="1"/>
  <c r="D26" i="6"/>
  <c r="C36" i="7"/>
  <c r="D20" i="6"/>
  <c r="D27" i="6" s="1"/>
  <c r="J27" i="8"/>
  <c r="J29" i="8" s="1"/>
  <c r="K30" i="7"/>
  <c r="D22" i="6" l="1"/>
  <c r="D19" i="8" s="1"/>
  <c r="K27" i="8"/>
  <c r="K29" i="8" s="1"/>
  <c r="L30" i="7"/>
  <c r="F12" i="9"/>
  <c r="D11" i="8"/>
  <c r="D21" i="8" l="1"/>
  <c r="D31" i="8" s="1"/>
  <c r="D33" i="8" s="1"/>
  <c r="D11" i="7" s="1"/>
  <c r="D14" i="7" s="1"/>
  <c r="D17" i="7" s="1"/>
  <c r="D24" i="6"/>
  <c r="M30" i="7"/>
  <c r="L27" i="8"/>
  <c r="L29" i="8" s="1"/>
  <c r="E12" i="18" l="1"/>
  <c r="E14" i="18" s="1"/>
  <c r="E16" i="18" s="1"/>
  <c r="D28" i="6"/>
  <c r="E11" i="9"/>
  <c r="E15" i="9" s="1"/>
  <c r="E17" i="9" s="1"/>
  <c r="D31" i="7"/>
  <c r="D32" i="7" s="1"/>
  <c r="D34" i="7" s="1"/>
  <c r="D36" i="7" s="1"/>
  <c r="E32" i="8"/>
  <c r="M27" i="8"/>
  <c r="M29" i="8" s="1"/>
  <c r="N30" i="7"/>
  <c r="E12" i="8"/>
  <c r="E15" i="6"/>
  <c r="F39" i="11" l="1"/>
  <c r="E26" i="6"/>
  <c r="N27" i="8"/>
  <c r="N29" i="8" s="1"/>
  <c r="O30" i="7"/>
  <c r="E20" i="6"/>
  <c r="E27" i="6" s="1"/>
  <c r="E22" i="6" l="1"/>
  <c r="E19" i="8" s="1"/>
  <c r="G12" i="9"/>
  <c r="O27" i="8"/>
  <c r="O29" i="8" s="1"/>
  <c r="P30" i="7"/>
  <c r="E11" i="8"/>
  <c r="E24" i="6" l="1"/>
  <c r="E21" i="8"/>
  <c r="E31" i="8" s="1"/>
  <c r="E33" i="8" s="1"/>
  <c r="F32" i="8" s="1"/>
  <c r="P27" i="8"/>
  <c r="P29" i="8" s="1"/>
  <c r="F12" i="18" l="1"/>
  <c r="F14" i="18" s="1"/>
  <c r="F16" i="18" s="1"/>
  <c r="E28" i="6"/>
  <c r="E31" i="7"/>
  <c r="E32" i="7" s="1"/>
  <c r="E34" i="7" s="1"/>
  <c r="F11" i="9"/>
  <c r="F15" i="9" s="1"/>
  <c r="F17" i="9" s="1"/>
  <c r="E11" i="7"/>
  <c r="E14" i="7" s="1"/>
  <c r="E17" i="7" s="1"/>
  <c r="F12" i="8"/>
  <c r="F15" i="6"/>
  <c r="G39" i="11" l="1"/>
  <c r="F26" i="6"/>
  <c r="E36" i="7"/>
  <c r="F20" i="6"/>
  <c r="F27" i="6" s="1"/>
  <c r="F22" i="6" l="1"/>
  <c r="F19" i="8" s="1"/>
  <c r="H12" i="9"/>
  <c r="F11" i="8"/>
  <c r="F24" i="6" l="1"/>
  <c r="F21" i="8"/>
  <c r="F31" i="8" s="1"/>
  <c r="F33" i="8" s="1"/>
  <c r="G32" i="8" s="1"/>
  <c r="G12" i="18" l="1"/>
  <c r="G14" i="18" s="1"/>
  <c r="G16" i="18" s="1"/>
  <c r="F28" i="6"/>
  <c r="G11" i="9"/>
  <c r="G15" i="9" s="1"/>
  <c r="G17" i="9" s="1"/>
  <c r="F31" i="7"/>
  <c r="F32" i="7" s="1"/>
  <c r="F34" i="7" s="1"/>
  <c r="F11" i="7"/>
  <c r="F14" i="7" s="1"/>
  <c r="F17" i="7" s="1"/>
  <c r="G12" i="8"/>
  <c r="G15" i="6"/>
  <c r="H39" i="11" l="1"/>
  <c r="G26" i="6"/>
  <c r="F36" i="7"/>
  <c r="G20" i="6"/>
  <c r="G27" i="6" s="1"/>
  <c r="G22" i="6" l="1"/>
  <c r="G19" i="8" s="1"/>
  <c r="I12" i="9"/>
  <c r="G11" i="8"/>
  <c r="G24" i="6" l="1"/>
  <c r="G21" i="8"/>
  <c r="G31" i="8" s="1"/>
  <c r="G33" i="8" s="1"/>
  <c r="G11" i="7" s="1"/>
  <c r="G14" i="7" s="1"/>
  <c r="G17" i="7" s="1"/>
  <c r="H12" i="18" l="1"/>
  <c r="H14" i="18" s="1"/>
  <c r="H16" i="18" s="1"/>
  <c r="G28" i="6"/>
  <c r="H11" i="9"/>
  <c r="H15" i="9" s="1"/>
  <c r="H17" i="9" s="1"/>
  <c r="G31" i="7"/>
  <c r="G32" i="7" s="1"/>
  <c r="G34" i="7" s="1"/>
  <c r="G36" i="7" s="1"/>
  <c r="H32" i="8"/>
  <c r="H12" i="8"/>
  <c r="H15" i="6"/>
  <c r="I39" i="11" l="1"/>
  <c r="H26" i="6"/>
  <c r="H20" i="6"/>
  <c r="H27" i="6" s="1"/>
  <c r="H22" i="6" l="1"/>
  <c r="H19" i="8" s="1"/>
  <c r="J12" i="9"/>
  <c r="H11" i="8"/>
  <c r="H24" i="6" l="1"/>
  <c r="H21" i="8"/>
  <c r="H31" i="8" s="1"/>
  <c r="H33" i="8" s="1"/>
  <c r="I32" i="8" s="1"/>
  <c r="I12" i="18" l="1"/>
  <c r="I14" i="18" s="1"/>
  <c r="I16" i="18" s="1"/>
  <c r="H28" i="6"/>
  <c r="I11" i="9"/>
  <c r="I15" i="9" s="1"/>
  <c r="I17" i="9" s="1"/>
  <c r="H31" i="7"/>
  <c r="H32" i="7" s="1"/>
  <c r="H34" i="7" s="1"/>
  <c r="H11" i="7"/>
  <c r="H14" i="7" s="1"/>
  <c r="H17" i="7" s="1"/>
  <c r="I12" i="8"/>
  <c r="I15" i="6"/>
  <c r="J39" i="11" l="1"/>
  <c r="I26" i="6"/>
  <c r="H36" i="7"/>
  <c r="I20" i="6"/>
  <c r="I27" i="6" s="1"/>
  <c r="I22" i="6" l="1"/>
  <c r="I19" i="8" s="1"/>
  <c r="K12" i="9"/>
  <c r="I11" i="8"/>
  <c r="I24" i="6" l="1"/>
  <c r="I21" i="8"/>
  <c r="I31" i="8" s="1"/>
  <c r="I33" i="8" s="1"/>
  <c r="I11" i="7" s="1"/>
  <c r="I14" i="7" s="1"/>
  <c r="I17" i="7" s="1"/>
  <c r="J12" i="18" l="1"/>
  <c r="J14" i="18" s="1"/>
  <c r="J16" i="18" s="1"/>
  <c r="I28" i="6"/>
  <c r="J11" i="9"/>
  <c r="J15" i="9" s="1"/>
  <c r="J17" i="9" s="1"/>
  <c r="I31" i="7"/>
  <c r="I32" i="7" s="1"/>
  <c r="I34" i="7" s="1"/>
  <c r="I36" i="7" s="1"/>
  <c r="J32" i="8"/>
  <c r="J12" i="8"/>
  <c r="J15" i="6"/>
  <c r="K39" i="11" l="1"/>
  <c r="J26" i="6"/>
  <c r="J20" i="6"/>
  <c r="J27" i="6" s="1"/>
  <c r="J22" i="6" l="1"/>
  <c r="J19" i="8" s="1"/>
  <c r="L12" i="9"/>
  <c r="J11" i="8"/>
  <c r="J21" i="8" l="1"/>
  <c r="J31" i="8" s="1"/>
  <c r="J33" i="8" s="1"/>
  <c r="K32" i="8" s="1"/>
  <c r="J24" i="6"/>
  <c r="K12" i="18" l="1"/>
  <c r="K14" i="18" s="1"/>
  <c r="K16" i="18" s="1"/>
  <c r="J28" i="6"/>
  <c r="J11" i="7"/>
  <c r="J14" i="7" s="1"/>
  <c r="J17" i="7" s="1"/>
  <c r="K11" i="9"/>
  <c r="K15" i="9" s="1"/>
  <c r="K17" i="9" s="1"/>
  <c r="J31" i="7"/>
  <c r="J32" i="7" s="1"/>
  <c r="J34" i="7" s="1"/>
  <c r="K15" i="6"/>
  <c r="K12" i="8"/>
  <c r="L39" i="11" l="1"/>
  <c r="K26" i="6"/>
  <c r="J36" i="7"/>
  <c r="K20" i="6"/>
  <c r="K27" i="6" s="1"/>
  <c r="K22" i="6" l="1"/>
  <c r="K19" i="8" s="1"/>
  <c r="M12" i="9"/>
  <c r="L12" i="8"/>
  <c r="L15" i="6"/>
  <c r="L26" i="6" s="1"/>
  <c r="K11" i="8"/>
  <c r="K24" i="6" l="1"/>
  <c r="K21" i="8"/>
  <c r="K31" i="8" s="1"/>
  <c r="K33" i="8" s="1"/>
  <c r="L32" i="8" s="1"/>
  <c r="N12" i="9"/>
  <c r="M15" i="6"/>
  <c r="M26" i="6" s="1"/>
  <c r="L20" i="6"/>
  <c r="L22" i="6" l="1"/>
  <c r="L19" i="8" s="1"/>
  <c r="L27" i="6"/>
  <c r="L11" i="9"/>
  <c r="L15" i="9" s="1"/>
  <c r="L17" i="9" s="1"/>
  <c r="L12" i="18"/>
  <c r="L14" i="18" s="1"/>
  <c r="L16" i="18" s="1"/>
  <c r="K28" i="6"/>
  <c r="K31" i="7"/>
  <c r="K32" i="7" s="1"/>
  <c r="K34" i="7" s="1"/>
  <c r="K11" i="7"/>
  <c r="K14" i="7" s="1"/>
  <c r="K17" i="7" s="1"/>
  <c r="M12" i="8"/>
  <c r="L11" i="8"/>
  <c r="L21" i="8" s="1"/>
  <c r="L31" i="8" s="1"/>
  <c r="L33" i="8" s="1"/>
  <c r="L24" i="6"/>
  <c r="M20" i="6"/>
  <c r="M22" i="6" l="1"/>
  <c r="M19" i="8" s="1"/>
  <c r="M27" i="6"/>
  <c r="M12" i="18"/>
  <c r="M14" i="18" s="1"/>
  <c r="M16" i="18" s="1"/>
  <c r="L28" i="6"/>
  <c r="K36" i="7"/>
  <c r="O12" i="9"/>
  <c r="M11" i="9"/>
  <c r="M15" i="9" s="1"/>
  <c r="N15" i="6"/>
  <c r="N26" i="6" s="1"/>
  <c r="M11" i="8"/>
  <c r="M21" i="8" s="1"/>
  <c r="M31" i="8" s="1"/>
  <c r="M24" i="6"/>
  <c r="L11" i="7"/>
  <c r="L14" i="7" s="1"/>
  <c r="L17" i="7" s="1"/>
  <c r="M32" i="8"/>
  <c r="L31" i="7"/>
  <c r="N12" i="18" l="1"/>
  <c r="N14" i="18" s="1"/>
  <c r="N16" i="18" s="1"/>
  <c r="M28" i="6"/>
  <c r="N12" i="8"/>
  <c r="M33" i="8"/>
  <c r="M11" i="7" s="1"/>
  <c r="M14" i="7" s="1"/>
  <c r="M17" i="7" s="1"/>
  <c r="L32" i="7"/>
  <c r="L34" i="7" s="1"/>
  <c r="L36" i="7" s="1"/>
  <c r="M31" i="7"/>
  <c r="N11" i="9"/>
  <c r="N15" i="9" s="1"/>
  <c r="N17" i="9" s="1"/>
  <c r="N20" i="6"/>
  <c r="M17" i="9"/>
  <c r="N22" i="6" l="1"/>
  <c r="N19" i="8" s="1"/>
  <c r="N27" i="6"/>
  <c r="N32" i="8"/>
  <c r="N11" i="8"/>
  <c r="N21" i="8" s="1"/>
  <c r="N31" i="8" s="1"/>
  <c r="N24" i="6"/>
  <c r="M32" i="7"/>
  <c r="M34" i="7" s="1"/>
  <c r="M36" i="7" s="1"/>
  <c r="P12" i="9"/>
  <c r="O12" i="8"/>
  <c r="O15" i="6"/>
  <c r="O26" i="6" s="1"/>
  <c r="O12" i="18" l="1"/>
  <c r="O14" i="18" s="1"/>
  <c r="O16" i="18" s="1"/>
  <c r="N28" i="6"/>
  <c r="N33" i="8"/>
  <c r="N11" i="7" s="1"/>
  <c r="N14" i="7" s="1"/>
  <c r="N17" i="7" s="1"/>
  <c r="Q12" i="9"/>
  <c r="O11" i="9"/>
  <c r="O15" i="9" s="1"/>
  <c r="N31" i="7"/>
  <c r="O20" i="6"/>
  <c r="P15" i="6"/>
  <c r="P26" i="6" s="1"/>
  <c r="O22" i="6" l="1"/>
  <c r="O19" i="8" s="1"/>
  <c r="O27" i="6"/>
  <c r="O32" i="8"/>
  <c r="P12" i="8"/>
  <c r="O11" i="8"/>
  <c r="O21" i="8" s="1"/>
  <c r="O31" i="8" s="1"/>
  <c r="O24" i="6"/>
  <c r="N32" i="7"/>
  <c r="N34" i="7" s="1"/>
  <c r="N36" i="7" s="1"/>
  <c r="P20" i="6"/>
  <c r="O17" i="9"/>
  <c r="P22" i="6" l="1"/>
  <c r="P19" i="8" s="1"/>
  <c r="P27" i="6"/>
  <c r="O31" i="7"/>
  <c r="P12" i="18"/>
  <c r="P14" i="18" s="1"/>
  <c r="P16" i="18" s="1"/>
  <c r="O28" i="6"/>
  <c r="O33" i="8"/>
  <c r="O11" i="7" s="1"/>
  <c r="O14" i="7" s="1"/>
  <c r="O17" i="7" s="1"/>
  <c r="P11" i="8"/>
  <c r="P21" i="8" s="1"/>
  <c r="P31" i="8" s="1"/>
  <c r="P24" i="6"/>
  <c r="O32" i="7"/>
  <c r="O34" i="7" s="1"/>
  <c r="P11" i="9"/>
  <c r="P15" i="9" s="1"/>
  <c r="P31" i="7" l="1"/>
  <c r="P32" i="7" s="1"/>
  <c r="P34" i="7" s="1"/>
  <c r="Q12" i="18"/>
  <c r="Q14" i="18" s="1"/>
  <c r="Q16" i="18" s="1"/>
  <c r="P28" i="6"/>
  <c r="P32" i="8"/>
  <c r="P33" i="8" s="1"/>
  <c r="P11" i="7" s="1"/>
  <c r="P14" i="7" s="1"/>
  <c r="P17" i="7" s="1"/>
  <c r="P36" i="7" s="1"/>
  <c r="O36" i="7"/>
  <c r="P17" i="9"/>
  <c r="Q11" i="9"/>
  <c r="Q15" i="9" s="1"/>
  <c r="Q16" i="9" s="1"/>
  <c r="Q17" i="18" l="1"/>
  <c r="B18" i="18"/>
  <c r="Q17" i="9"/>
  <c r="B19" i="9" s="1"/>
  <c r="B18" i="9" l="1"/>
  <c r="E13" i="4" s="1"/>
  <c r="E10" i="4"/>
</calcChain>
</file>

<file path=xl/sharedStrings.xml><?xml version="1.0" encoding="utf-8"?>
<sst xmlns="http://schemas.openxmlformats.org/spreadsheetml/2006/main" count="835" uniqueCount="451">
  <si>
    <t xml:space="preserve"> </t>
  </si>
  <si>
    <t xml:space="preserve">Model Calculator </t>
  </si>
  <si>
    <t xml:space="preserve">PROJECT RETURNS </t>
  </si>
  <si>
    <t xml:space="preserve">PROJECT </t>
  </si>
  <si>
    <t>INTERNAL RATE OF RETURN  (%)</t>
  </si>
  <si>
    <t>Kanal</t>
  </si>
  <si>
    <t>Water</t>
  </si>
  <si>
    <t>Marketing costs</t>
  </si>
  <si>
    <t>Security</t>
  </si>
  <si>
    <t xml:space="preserve">HR costs </t>
  </si>
  <si>
    <t xml:space="preserve">Working capital assumptions </t>
  </si>
  <si>
    <t>Trade debts/ receivables (days)</t>
  </si>
  <si>
    <t xml:space="preserve">Taxation </t>
  </si>
  <si>
    <t xml:space="preserve">Corporate tax rate </t>
  </si>
  <si>
    <t xml:space="preserve">Turnover tax </t>
  </si>
  <si>
    <t xml:space="preserve">Alternate corporate tax </t>
  </si>
  <si>
    <t>Benazir Youth: Empowering Youth through Emerging Technologies_x000B_</t>
  </si>
  <si>
    <t>Total available area</t>
  </si>
  <si>
    <t>Acre to kanal</t>
  </si>
  <si>
    <t>Acre</t>
  </si>
  <si>
    <t>Acre to sq ft</t>
  </si>
  <si>
    <t>USD to PKR</t>
  </si>
  <si>
    <t>Project Land</t>
  </si>
  <si>
    <t>SQ FT</t>
  </si>
  <si>
    <t>Unit</t>
  </si>
  <si>
    <t>sq ft to kanal</t>
  </si>
  <si>
    <t>Gym</t>
  </si>
  <si>
    <t>Number of floors</t>
  </si>
  <si>
    <t>Total construction cost</t>
  </si>
  <si>
    <t>Financing plan</t>
  </si>
  <si>
    <t>Debt equity ratio</t>
  </si>
  <si>
    <t>Spread over KIBOR</t>
  </si>
  <si>
    <t>Lease pricing plan</t>
  </si>
  <si>
    <t>Retail spaces</t>
  </si>
  <si>
    <t>Price escalation</t>
  </si>
  <si>
    <t>STZE</t>
  </si>
  <si>
    <t>Yes</t>
  </si>
  <si>
    <t>Revenue</t>
  </si>
  <si>
    <t>Years</t>
  </si>
  <si>
    <t>IT Park Operations</t>
  </si>
  <si>
    <t>Café</t>
  </si>
  <si>
    <t>Occupancy factor</t>
  </si>
  <si>
    <t>Services</t>
  </si>
  <si>
    <t>PKR/SFT</t>
  </si>
  <si>
    <t>Total revenue</t>
  </si>
  <si>
    <t>Gross Profit</t>
  </si>
  <si>
    <t>Depreciation</t>
  </si>
  <si>
    <t>Profit or Loss</t>
  </si>
  <si>
    <t>Balance Sheet</t>
  </si>
  <si>
    <t>Assets</t>
  </si>
  <si>
    <t>Cash</t>
  </si>
  <si>
    <t>Inventory</t>
  </si>
  <si>
    <t>Trade Receivables</t>
  </si>
  <si>
    <t>Total Current Assets</t>
  </si>
  <si>
    <t>Fixed Assets</t>
  </si>
  <si>
    <t>Total Assets</t>
  </si>
  <si>
    <t>Liabilities</t>
  </si>
  <si>
    <t>Trade Payables</t>
  </si>
  <si>
    <t>Total Liabilities</t>
  </si>
  <si>
    <t>Equity</t>
  </si>
  <si>
    <t>Share Capital</t>
  </si>
  <si>
    <t>Accumulated Profits</t>
  </si>
  <si>
    <t>Cash Flow</t>
  </si>
  <si>
    <t>Profit before taxation</t>
  </si>
  <si>
    <t>Taxation</t>
  </si>
  <si>
    <t>Profit after taxation</t>
  </si>
  <si>
    <t>Investories - as % of direct costs</t>
  </si>
  <si>
    <t>Profit before tax</t>
  </si>
  <si>
    <t>Add: Depreciation</t>
  </si>
  <si>
    <t>Changes in Working Capital</t>
  </si>
  <si>
    <t>Tax Paid</t>
  </si>
  <si>
    <t>Net Cash from Operating Activities</t>
  </si>
  <si>
    <t>Cash from Investing Activities</t>
  </si>
  <si>
    <t>Cash from Financing Activities</t>
  </si>
  <si>
    <t xml:space="preserve">Loan </t>
  </si>
  <si>
    <t>Total changes in CF</t>
  </si>
  <si>
    <t>Cash at beginning of the year</t>
  </si>
  <si>
    <t>Cash at Year End</t>
  </si>
  <si>
    <t>Long term loan</t>
  </si>
  <si>
    <t>Projected Returns</t>
  </si>
  <si>
    <t>Profit after tax</t>
  </si>
  <si>
    <t>Less: Increase in Net Working Capital</t>
  </si>
  <si>
    <t>Available FCF</t>
  </si>
  <si>
    <t>Terminal Value</t>
  </si>
  <si>
    <t>Total Available FCF</t>
  </si>
  <si>
    <t>NPV</t>
  </si>
  <si>
    <t>IRR</t>
  </si>
  <si>
    <t>Terminal Growth Rate</t>
  </si>
  <si>
    <t>Discount Rate</t>
  </si>
  <si>
    <t>Risk free rate</t>
  </si>
  <si>
    <t>Market premium</t>
  </si>
  <si>
    <t>Beta</t>
  </si>
  <si>
    <t>Cost of equity / WACC</t>
  </si>
  <si>
    <t>GP</t>
  </si>
  <si>
    <t>OP</t>
  </si>
  <si>
    <t>NP</t>
  </si>
  <si>
    <t>Maintenance</t>
  </si>
  <si>
    <t>Project operating costs  (PKR per Month)</t>
  </si>
  <si>
    <t xml:space="preserve">Project operating costs  </t>
  </si>
  <si>
    <t>Administrative expenses</t>
  </si>
  <si>
    <t>Working</t>
  </si>
  <si>
    <t xml:space="preserve">             -   </t>
  </si>
  <si>
    <t>Vertical Analysis</t>
  </si>
  <si>
    <t>P&amp;L</t>
  </si>
  <si>
    <t>BS</t>
  </si>
  <si>
    <t>Total Equity &amp; Liability</t>
  </si>
  <si>
    <t>Gross profit Margin</t>
  </si>
  <si>
    <t>Net Profit Margin</t>
  </si>
  <si>
    <t>ROCE</t>
  </si>
  <si>
    <t>Asset Turnover</t>
  </si>
  <si>
    <t>Working Capital</t>
  </si>
  <si>
    <t>Year</t>
  </si>
  <si>
    <t>MUREEABAD, QUETTA</t>
  </si>
  <si>
    <t>Description of Work</t>
  </si>
  <si>
    <t>Amount</t>
  </si>
  <si>
    <t>Electric Work</t>
  </si>
  <si>
    <t>Plumbing Work</t>
  </si>
  <si>
    <t>STP</t>
  </si>
  <si>
    <t>Total</t>
  </si>
  <si>
    <t>BILL OF QUANTITY</t>
  </si>
  <si>
    <t>ELECTRIC WORK</t>
  </si>
  <si>
    <t>Sr             .No</t>
  </si>
  <si>
    <t>Description</t>
  </si>
  <si>
    <t>Qty</t>
  </si>
  <si>
    <t>Rate</t>
  </si>
  <si>
    <t>Wiring of light/fan/call-bell point in 3/0.029 PVC insulated bare cable in 3/4'' dia or bigger as required heavy guage PVC conduit conceled in walls, columns, ceilling, floor etc.</t>
  </si>
  <si>
    <t>Each</t>
  </si>
  <si>
    <t>Wiring from first light point to other light point or fan point with 3 no's 1.5mm sq single core PVC Insulated.</t>
  </si>
  <si>
    <t>Supply &amp; Installation of heavy guage PVC conduit on surface of wall, columns, ceiling etc. including all fitting &amp; accessories and following sizes.</t>
  </si>
  <si>
    <t>a</t>
  </si>
  <si>
    <t>a) PVC conduit 20 mm (3/4'') dia</t>
  </si>
  <si>
    <t>Mtr</t>
  </si>
  <si>
    <t>b</t>
  </si>
  <si>
    <t>b) PVC conduit 25 mm (1'') dia</t>
  </si>
  <si>
    <t>Supply &amp; drawing in prelaid conduit, PVC/GI Pipe, RCC pipe, Trenches, Single core PVC insulated 300/500V grade copper conductor cables of pakistan or pioneer cables of following sizes</t>
  </si>
  <si>
    <t>Single core cable 2.5 mm2</t>
  </si>
  <si>
    <t>Single core 4 mm2 300/500V cable</t>
  </si>
  <si>
    <t>c</t>
  </si>
  <si>
    <t>Single core 6 mm2 300/500V cable</t>
  </si>
  <si>
    <t>d</t>
  </si>
  <si>
    <t>Single core 16 mm2 300/500V cable</t>
  </si>
  <si>
    <t>Supply and fixing of the following light with all aceesoires.</t>
  </si>
  <si>
    <t>Ceilling Lights</t>
  </si>
  <si>
    <t>Nos</t>
  </si>
  <si>
    <t>Pandent</t>
  </si>
  <si>
    <t>Wall Shade Light</t>
  </si>
  <si>
    <t>e</t>
  </si>
  <si>
    <t>Niche Light</t>
  </si>
  <si>
    <t>Supply and fixing of the following types best quality ceilling fan complete with GI rod,.</t>
  </si>
  <si>
    <t>a) 56'' fan</t>
  </si>
  <si>
    <t>Supply and Fixing dimmer switch complete.</t>
  </si>
  <si>
    <t>Supply and installation of 24'' sweep, plastic body, Exhaust fan incluiding all civil works required for complete installation and of asia/climax/pak fan made including all labour and materials cable required at site and as approved by the M(Elect).</t>
  </si>
  <si>
    <t>Supply and Installation of Switches.</t>
  </si>
  <si>
    <t>5 Amp Single Pole Flush Type Switch</t>
  </si>
  <si>
    <t>5 Amp 2way Flush Type Switch</t>
  </si>
  <si>
    <t>Supply and fixing of following Power accessories.</t>
  </si>
  <si>
    <t>10a, 1 Gang 2 Pin</t>
  </si>
  <si>
    <t>15a, 1 Gang 3 Pin</t>
  </si>
  <si>
    <t>Wall Light</t>
  </si>
  <si>
    <t>UPS System with all accessories.</t>
  </si>
  <si>
    <t>Telephone and Intercome</t>
  </si>
  <si>
    <t>f</t>
  </si>
  <si>
    <t>TV plug point</t>
  </si>
  <si>
    <t>Supply and fixing of the following single phase imported auto circuit breakers as approved.</t>
  </si>
  <si>
    <t>10 Amp</t>
  </si>
  <si>
    <t>15 Amp</t>
  </si>
  <si>
    <t>20 Amp</t>
  </si>
  <si>
    <t>Providing and Fixing of earthing electrod 2''x2'x1/4'' copper plate burried at the depth of 15feet in ground with two Nos. Earthing leads of strended copper conductor 2x8SWG (with salt and charcoal, or earthing chemical powder) i/c fixing of 8SWG copper wire in 1/2'' GI conduit from earth pit to DBs complete in all respect as required, and approved by the Engineer incharge.</t>
  </si>
  <si>
    <t>Providing and fixing plastic PVC heavy guage fan hook box suitable for RCC roof with MS bar 5/8'' dia &amp; complete in all respect as approved by the Engineer incharge.</t>
  </si>
  <si>
    <t>Supply and fixing of Wall  AC 1.5 Ton</t>
  </si>
  <si>
    <t>Supply and fixing of MS Sheet box of 16 SWG, 4'' : (4''x4'')</t>
  </si>
  <si>
    <t>Supply and Fixing of Sub Distribution Board for both floors (24''x30'')</t>
  </si>
  <si>
    <t>Supply and Fixing of Main Distribution Boards (24''x30'')</t>
  </si>
  <si>
    <t>Total Electric Work</t>
  </si>
  <si>
    <t>PLUMBING WORK</t>
  </si>
  <si>
    <t>Sr.          No</t>
  </si>
  <si>
    <t>A</t>
  </si>
  <si>
    <t>Toilet, Bath and Laundary Accessories.</t>
  </si>
  <si>
    <t xml:space="preserve">Towel Rail </t>
  </si>
  <si>
    <t>No</t>
  </si>
  <si>
    <t xml:space="preserve">Soap Dish </t>
  </si>
  <si>
    <t xml:space="preserve">Mirror </t>
  </si>
  <si>
    <t>Sft</t>
  </si>
  <si>
    <t>B</t>
  </si>
  <si>
    <t>GI Gate Valves with All Allied Accessories</t>
  </si>
  <si>
    <t>1/2'' Dia</t>
  </si>
  <si>
    <t>3/4'' Dia</t>
  </si>
  <si>
    <t>1'' Dia</t>
  </si>
  <si>
    <t>C</t>
  </si>
  <si>
    <t>Plumbing Fixtures and Fittings</t>
  </si>
  <si>
    <t>Asian WC</t>
  </si>
  <si>
    <t>Muslim Shower</t>
  </si>
  <si>
    <t xml:space="preserve">Bath Mixer </t>
  </si>
  <si>
    <t>Bib cock 12 mm Dia</t>
  </si>
  <si>
    <t>uPVC floor Gully top</t>
  </si>
  <si>
    <t>4''Floor P Trap</t>
  </si>
  <si>
    <t>Manhole  Cover with 24" x 24''</t>
  </si>
  <si>
    <t>Geyser (Good Brand) - 45 Gallons</t>
  </si>
  <si>
    <t>Water Supply Pump</t>
  </si>
  <si>
    <t>Total Plumbing Work</t>
  </si>
  <si>
    <t>CEO/Executive Offices</t>
  </si>
  <si>
    <t>Warden Room (on Ground Floor) - Block -A [20'9"x16']</t>
  </si>
  <si>
    <t>Warden Room (on Ground Floor) - Block -B [20'9"x16']</t>
  </si>
  <si>
    <t>Guest Room (on Ground Floor) - Block -B [20'9"x16']</t>
  </si>
  <si>
    <t>Executive Table</t>
  </si>
  <si>
    <t>Executive Chair</t>
  </si>
  <si>
    <t>Filing Cabinets</t>
  </si>
  <si>
    <t>Bookshelves/Bookccases</t>
  </si>
  <si>
    <t>Decorative items</t>
  </si>
  <si>
    <t>Artificial/Natural Plants</t>
  </si>
  <si>
    <t>Artwork</t>
  </si>
  <si>
    <t>Admin/Control/Staff Office</t>
  </si>
  <si>
    <t>Guest Room (on Ground Floor) - Block -A [20'9"x16']</t>
  </si>
  <si>
    <t>Manager Table (5'x2'6")</t>
  </si>
  <si>
    <t>Manager Chair</t>
  </si>
  <si>
    <t>Staff Tables (3'x2')</t>
  </si>
  <si>
    <t>Staff Chairs</t>
  </si>
  <si>
    <t>Bookshelves/Bookcases</t>
  </si>
  <si>
    <t>Reception</t>
  </si>
  <si>
    <t>Open In the lobby (Entrance Place Adjustment to Stairs)</t>
  </si>
  <si>
    <t>Reception Table</t>
  </si>
  <si>
    <t>Reception Stool (Bar Stool or Heighted Chair)</t>
  </si>
  <si>
    <t>Printer</t>
  </si>
  <si>
    <t>Photo Copier</t>
  </si>
  <si>
    <t>Printer/Scanner</t>
  </si>
  <si>
    <t>Coworking Spaces</t>
  </si>
  <si>
    <t>Spaces for freelancers, remote workers &amp; small teams.</t>
  </si>
  <si>
    <t>Room No.1, 2, 3, 4, 5, 6 (G-Floor)-Block-A [13'1"x16'] x4</t>
  </si>
  <si>
    <t>Room No.11, 12, 13, 14, 15, 16 (F-Floor)Block-A[13'1"x16'] x4</t>
  </si>
  <si>
    <t>Shared Tables (8'-0''x4'-0'')</t>
  </si>
  <si>
    <t>Chairs</t>
  </si>
  <si>
    <t>Dismantling</t>
  </si>
  <si>
    <t>Sq ft</t>
  </si>
  <si>
    <t>SECURITY &amp; SURVELLEINCE</t>
  </si>
  <si>
    <t>CCTV Cameras (HD)</t>
  </si>
  <si>
    <t>NVR</t>
  </si>
  <si>
    <t>Monitors: Display live and recorded video.</t>
  </si>
  <si>
    <t>16 Port POE switch</t>
  </si>
  <si>
    <t>Switches: Route video signals to multiple monitors.</t>
  </si>
  <si>
    <t xml:space="preserve">Video Processing Software: </t>
  </si>
  <si>
    <t>Cat 6</t>
  </si>
  <si>
    <t xml:space="preserve">Storage Devices: </t>
  </si>
  <si>
    <t>SAN - (1.2 TB)</t>
  </si>
  <si>
    <t>NAS (10 TB)</t>
  </si>
  <si>
    <t>NO</t>
  </si>
  <si>
    <t>NETWORKING INFRASTUCURE</t>
  </si>
  <si>
    <t>High Speed Internet</t>
  </si>
  <si>
    <t>100Mps</t>
  </si>
  <si>
    <t>Fiber Optic Cables (2 Core)</t>
  </si>
  <si>
    <t>Wi-Fi access points-3702i dual band-5Ghz</t>
  </si>
  <si>
    <t>Network Switches - D-LinkDGS-108, 8-port</t>
  </si>
  <si>
    <t>Corporate Office Spaces</t>
  </si>
  <si>
    <t>Spaces for Independent Companies</t>
  </si>
  <si>
    <t>Warden Room (on First Floor) - Block -A [20'9"x16']</t>
  </si>
  <si>
    <t>Guest Room (on First Floor) - Block -A [20'9"x16']</t>
  </si>
  <si>
    <t>Staff Table (3'x2')</t>
  </si>
  <si>
    <t>Independent Cabinets</t>
  </si>
  <si>
    <t>Room No.11, 12, 13, 14, 15, 16 (F-Floor) - Block -B [13'1"x16']</t>
  </si>
  <si>
    <t>Conference Room</t>
  </si>
  <si>
    <t>Space for business meetings and small conferences</t>
  </si>
  <si>
    <t>Room No.19, 20 (First Floor) - Block-B [13'3"x13']</t>
  </si>
  <si>
    <t>Conference table (rectangular shape) - 20'-0'' long</t>
  </si>
  <si>
    <t>Presentation tools (projectors, screens)</t>
  </si>
  <si>
    <t>Camera for video conferencing</t>
  </si>
  <si>
    <t>Mics &amp; Speaker Setup</t>
  </si>
  <si>
    <t>White Board</t>
  </si>
  <si>
    <t>Dismantling Cost</t>
  </si>
  <si>
    <t>Seminar Room</t>
  </si>
  <si>
    <t>Space for Seminars or medium size event</t>
  </si>
  <si>
    <t>Room No.17, 18 (First Floor) - Block-B</t>
  </si>
  <si>
    <t>[13'1"x13] and [13'7"x13]</t>
  </si>
  <si>
    <t>Wooden Podium Dise</t>
  </si>
  <si>
    <t>Mic &amp; Speaker Setup</t>
  </si>
  <si>
    <t>Storage Room</t>
  </si>
  <si>
    <t>Space for maintenance tools, extra equipment &amp; storage purposes</t>
  </si>
  <si>
    <t>Guest Room (First Floor) - Block-B [20'9"x16']</t>
  </si>
  <si>
    <t>Wall Mounted Racks &amp; Cabinets</t>
  </si>
  <si>
    <t>Wall</t>
  </si>
  <si>
    <t>Residential Area for Guards &amp; Office Boys</t>
  </si>
  <si>
    <t>Accommodation Spaces</t>
  </si>
  <si>
    <t>Warden Room (First Floor) - Block-B [20'9"x16']</t>
  </si>
  <si>
    <t>Metal Beds</t>
  </si>
  <si>
    <t>Table + Chairs</t>
  </si>
  <si>
    <t>Cabinets</t>
  </si>
  <si>
    <t>Startup Incubators</t>
  </si>
  <si>
    <t>Working space, facilities and services to support new tech startups.</t>
  </si>
  <si>
    <t>Room No.7,8, 9, 10 (on Ground Floor) - Block -A</t>
  </si>
  <si>
    <t>Open desks and workstations</t>
  </si>
  <si>
    <t>Comfortable and colorful chairs</t>
  </si>
  <si>
    <t>Whiteboards and glassboards for brainstorming</t>
  </si>
  <si>
    <t>Meeting tables and conference rooms</t>
  </si>
  <si>
    <t>Cozy lounge areas and sofas</t>
  </si>
  <si>
    <t>Standing desks and ergonomic furniture</t>
  </si>
  <si>
    <t>Lockable storage and shelving units</t>
  </si>
  <si>
    <t>Fast and secure internet connectivity-per year</t>
  </si>
  <si>
    <t>Printing and scanning stations</t>
  </si>
  <si>
    <t>Kitchenettes sink</t>
  </si>
  <si>
    <t>AMENITIES</t>
  </si>
  <si>
    <t>Cafeteria / Restaurant</t>
  </si>
  <si>
    <t>Dining option</t>
  </si>
  <si>
    <t>Area of Room No.7, 8 , 9 , 10 (Ground Floor)-Block-B</t>
  </si>
  <si>
    <t>[13'1"x13], [13'7"x13'] and [13'3x13]x2</t>
  </si>
  <si>
    <t>Tables (3'-6''x3'-6'')</t>
  </si>
  <si>
    <t>Stools</t>
  </si>
  <si>
    <t>Wall Mounted Bar Rack/Table</t>
  </si>
  <si>
    <t xml:space="preserve">Water Dispenser </t>
  </si>
  <si>
    <t>Microwave/Oven</t>
  </si>
  <si>
    <t>Crockery items</t>
  </si>
  <si>
    <t>Decore/Art Work/Planters</t>
  </si>
  <si>
    <t>Commercial Refrigerator</t>
  </si>
  <si>
    <t>Kitchen Setup (Sink/Cabinets etc.)</t>
  </si>
  <si>
    <t>RESEARCH AND DEVELOPMENT CENTRE</t>
  </si>
  <si>
    <t>i</t>
  </si>
  <si>
    <t>Innovation Labs</t>
  </si>
  <si>
    <t>Spaces dedicated to research and innovation, often in collaboration with universities or other research institutions.</t>
  </si>
  <si>
    <t>Room No.17, 18, 19, 20 (on First Floor) - Block-A</t>
  </si>
  <si>
    <t>Workbenches</t>
  </si>
  <si>
    <t>R &amp; L Cabinets</t>
  </si>
  <si>
    <t>Global Lab chairs</t>
  </si>
  <si>
    <t>Chemical cabinets</t>
  </si>
  <si>
    <t>Anechoic chamber</t>
  </si>
  <si>
    <t>ii</t>
  </si>
  <si>
    <t>Computer Lab / Testing Facilities</t>
  </si>
  <si>
    <t>Areas equipped with tools and technology for product development and testing.</t>
  </si>
  <si>
    <t>Room No.1, 2, 3, 4, 5, 6 (on Ground Floor) - Block-B</t>
  </si>
  <si>
    <t>Table (3'x2')</t>
  </si>
  <si>
    <t>Hardware testing equipments like server etc</t>
  </si>
  <si>
    <t>Computer systems with led screen</t>
  </si>
  <si>
    <t>Laptops</t>
  </si>
  <si>
    <t>Software testing tools like scanner etc</t>
  </si>
  <si>
    <t>Automated testing software</t>
  </si>
  <si>
    <t>Debugging tools</t>
  </si>
  <si>
    <t>Performance testing software like Meter, Gatling</t>
  </si>
  <si>
    <t>Security testing tools</t>
  </si>
  <si>
    <t>Networking testing tools</t>
  </si>
  <si>
    <t>Network simulators and emulators</t>
  </si>
  <si>
    <t>Traffic generators and analyzers</t>
  </si>
  <si>
    <t>Network protocol analyzers</t>
  </si>
  <si>
    <t>Firewall and security testing tools</t>
  </si>
  <si>
    <t>Cybersecurity testing equipment like Metaspolit-per year</t>
  </si>
  <si>
    <t>Passwork cracking tools like Ripper etc</t>
  </si>
  <si>
    <t>OTHER</t>
  </si>
  <si>
    <t>Renovation costs (including curtains and blinds)</t>
  </si>
  <si>
    <t>As per Layout</t>
  </si>
  <si>
    <t>Proposed</t>
  </si>
  <si>
    <t>Dimensions</t>
  </si>
  <si>
    <t>Ground Floor</t>
  </si>
  <si>
    <t>Block A</t>
  </si>
  <si>
    <t>Guest Room</t>
  </si>
  <si>
    <t>20'9"x16'</t>
  </si>
  <si>
    <t>Warden Room</t>
  </si>
  <si>
    <t>Room 7,8,9,10</t>
  </si>
  <si>
    <t>13'1"x13'</t>
  </si>
  <si>
    <t>13'7"x13'</t>
  </si>
  <si>
    <t>13'3"x13'</t>
  </si>
  <si>
    <t>Room 1,2,3,4,5,6</t>
  </si>
  <si>
    <t>13'1"x16' each</t>
  </si>
  <si>
    <t>Block B</t>
  </si>
  <si>
    <t>Café &amp; Restaurant</t>
  </si>
  <si>
    <t>First Floor</t>
  </si>
  <si>
    <t>Room 11,12,13,14,15,16</t>
  </si>
  <si>
    <t>Room 17,18,19,20</t>
  </si>
  <si>
    <t>Research and Development Centre</t>
  </si>
  <si>
    <t>Room 17,18</t>
  </si>
  <si>
    <t>Room 19,20</t>
  </si>
  <si>
    <t xml:space="preserve">Mountain View Science and Tech Park </t>
  </si>
  <si>
    <t>Financial Model</t>
  </si>
  <si>
    <t>Land under construction (one floor)</t>
  </si>
  <si>
    <t xml:space="preserve">Land available </t>
  </si>
  <si>
    <t>Design Schema - Floor Plan</t>
  </si>
  <si>
    <t>Total covered area</t>
  </si>
  <si>
    <t>STP rental spaces</t>
  </si>
  <si>
    <t>O&amp;M services (internet provision, utilities and security provision and cleaning)</t>
  </si>
  <si>
    <t>STP services (networking, meeting space, mentorship, etc.)</t>
  </si>
  <si>
    <t>Electricity - PKR per unit</t>
  </si>
  <si>
    <t>per month</t>
  </si>
  <si>
    <t>Covered area</t>
  </si>
  <si>
    <t>Security cost</t>
  </si>
  <si>
    <t>consumption per sq ft pr month</t>
  </si>
  <si>
    <t>10 hours per day, 20 days per month</t>
  </si>
  <si>
    <t>Costs escalation</t>
  </si>
  <si>
    <t>Repair and Maitenance</t>
  </si>
  <si>
    <t>Conference and Seminar Rooms</t>
  </si>
  <si>
    <t>For the Period</t>
  </si>
  <si>
    <t>S. No.</t>
  </si>
  <si>
    <t>Total Cost</t>
  </si>
  <si>
    <t>Y0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</si>
  <si>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</si>
  <si>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</si>
  <si>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</si>
  <si>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</si>
  <si>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</si>
  <si>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</si>
  <si>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</si>
  <si>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</si>
  <si>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</si>
  <si>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</si>
  <si>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</si>
  <si>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</si>
  <si>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</si>
  <si>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</si>
  <si>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</si>
  <si>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Building and works</t>
  </si>
  <si>
    <t>WDV</t>
  </si>
  <si>
    <t>% for apportionment</t>
  </si>
  <si>
    <t>COGS</t>
  </si>
  <si>
    <t>SG&amp;A</t>
  </si>
  <si>
    <t>Network equipment and testing</t>
  </si>
  <si>
    <t>Security equipment</t>
  </si>
  <si>
    <t>Furniture, fittings and renovation</t>
  </si>
  <si>
    <t>Less: CAPEX</t>
  </si>
  <si>
    <t>Initial cash requirement</t>
  </si>
  <si>
    <t xml:space="preserve"> CONSTRUCTION OF STP</t>
  </si>
  <si>
    <t>No.</t>
  </si>
  <si>
    <t>kVA</t>
  </si>
  <si>
    <t>Paint Job - Including Material (Complete Building Inside)</t>
  </si>
  <si>
    <t>Fridge</t>
  </si>
  <si>
    <t>Conversion Factors</t>
  </si>
  <si>
    <t>Construction cost summary</t>
  </si>
  <si>
    <t>Contigencies @ 5%</t>
  </si>
  <si>
    <t>Generator (165 kVA)</t>
  </si>
  <si>
    <t>NET PRESENT VALUE  (PKR)</t>
  </si>
  <si>
    <t>UPS complete system (5 kVA)</t>
  </si>
  <si>
    <t>Complete Solar System (120 kVA)</t>
  </si>
  <si>
    <t>Meeting room hrs per month</t>
  </si>
  <si>
    <t>Trade payables &amp; other liabilities (days)</t>
  </si>
  <si>
    <t xml:space="preserve">Computer and Testing Lab </t>
  </si>
  <si>
    <t xml:space="preserve">    Director /Manager (Overall management and strategic direction)</t>
  </si>
  <si>
    <t xml:space="preserve">    Assistant Manager and Business Development Manager (Support to the Director, oversee daily operations)</t>
  </si>
  <si>
    <t xml:space="preserve">    Administrative and IT Assistants / Support Staff</t>
  </si>
  <si>
    <t>CAPEX SUMMARY</t>
  </si>
  <si>
    <t>Components</t>
  </si>
  <si>
    <t>Meeting room charges per hr*</t>
  </si>
  <si>
    <t xml:space="preserve">*Meeting room charges apply to non-credit hour usage by STP in-house companies or external </t>
  </si>
  <si>
    <t>As percentage of total revenue</t>
  </si>
  <si>
    <t>Component 1: Electric Work</t>
  </si>
  <si>
    <t>Component 2: Plumbing Work</t>
  </si>
  <si>
    <t>Component 3: STP related costs</t>
  </si>
  <si>
    <t>AT MARIABAD, QUETTA</t>
  </si>
  <si>
    <t>STP RELATED COSTS</t>
  </si>
  <si>
    <t>Financial Proposal</t>
  </si>
  <si>
    <t>Dividends Calculation</t>
  </si>
  <si>
    <t>Net Profit / (Loss)</t>
  </si>
  <si>
    <t>Dividend Payout Ratio</t>
  </si>
  <si>
    <t>Total Dividends</t>
  </si>
  <si>
    <t>Quoted Free Equity Share for GoB</t>
  </si>
  <si>
    <t>Government Share of Dividends against Quoted Free Equity - Absolute Terms</t>
  </si>
  <si>
    <t>Discount Factor</t>
  </si>
  <si>
    <t>Government Share of Dividends against Quoted Free Equity - Present Value</t>
  </si>
  <si>
    <t>PkR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</si>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</sst>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_);_(* \(#,##0.000\);_(* &quot;-&quot;??_);_(@_)"/>
    <numFmt numFmtId="167" formatCode="_(* #,##0.0_);_(* \(#,##0.0\);_(* &quot;-&quot;??_);_(@_)"/>
    <numFmt numFmtId="168" formatCode="_(* #,##0.00000_);_(* \(#,##0.00000\);_(* &quot;-&quot;??_);_(@_)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0.34998626667073579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007C92"/>
      <name val="Arial"/>
      <family val="2"/>
    </font>
    <font>
      <b/>
      <sz val="10"/>
      <color theme="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6D2077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b/>
      <sz val="12"/>
      <color theme="0"/>
      <name val="Calibri"/>
      <family val="2"/>
      <scheme val="minor"/>
    </font>
    <font>
      <sz val="11"/>
      <color theme="0"/>
      <name val="Calibri "/>
    </font>
    <font>
      <i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276">
    <xf numFmtId="0" fontId="0" fillId="0" borderId="0" xfId="0"/>
    <xf numFmtId="164" fontId="4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6" fillId="0" borderId="0" xfId="1" applyNumberFormat="1" applyFont="1" applyAlignment="1">
      <alignment vertical="center"/>
    </xf>
    <xf numFmtId="164" fontId="7" fillId="0" borderId="0" xfId="1" applyNumberFormat="1" applyFont="1" applyAlignment="1">
      <alignment vertical="center"/>
    </xf>
    <xf numFmtId="164" fontId="5" fillId="0" borderId="0" xfId="1" applyNumberFormat="1" applyFont="1" applyFill="1" applyAlignment="1">
      <alignment vertical="center"/>
    </xf>
    <xf numFmtId="164" fontId="8" fillId="0" borderId="0" xfId="1" applyNumberFormat="1" applyFont="1" applyFill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164" fontId="9" fillId="2" borderId="0" xfId="1" applyNumberFormat="1" applyFont="1" applyFill="1" applyAlignment="1">
      <alignment vertical="center"/>
    </xf>
    <xf numFmtId="164" fontId="10" fillId="2" borderId="0" xfId="1" quotePrefix="1" applyNumberFormat="1" applyFont="1" applyFill="1" applyAlignment="1">
      <alignment horizontal="center" vertical="center"/>
    </xf>
    <xf numFmtId="164" fontId="11" fillId="3" borderId="2" xfId="1" applyNumberFormat="1" applyFont="1" applyFill="1" applyBorder="1" applyAlignment="1">
      <alignment horizontal="left" vertical="center" indent="2"/>
    </xf>
    <xf numFmtId="164" fontId="11" fillId="3" borderId="2" xfId="1" applyNumberFormat="1" applyFont="1" applyFill="1" applyBorder="1" applyAlignment="1">
      <alignment vertical="center"/>
    </xf>
    <xf numFmtId="164" fontId="11" fillId="3" borderId="0" xfId="1" applyNumberFormat="1" applyFont="1" applyFill="1" applyBorder="1" applyAlignment="1">
      <alignment horizontal="left" vertical="center" indent="2"/>
    </xf>
    <xf numFmtId="164" fontId="12" fillId="3" borderId="0" xfId="1" applyNumberFormat="1" applyFont="1" applyFill="1" applyBorder="1" applyAlignment="1">
      <alignment vertical="center"/>
    </xf>
    <xf numFmtId="164" fontId="13" fillId="4" borderId="3" xfId="1" applyNumberFormat="1" applyFont="1" applyFill="1" applyBorder="1" applyAlignment="1">
      <alignment horizontal="left" vertical="center" indent="2"/>
    </xf>
    <xf numFmtId="164" fontId="13" fillId="4" borderId="0" xfId="1" applyNumberFormat="1" applyFont="1" applyFill="1" applyBorder="1" applyAlignment="1">
      <alignment horizontal="left" vertical="center" indent="2"/>
    </xf>
    <xf numFmtId="164" fontId="13" fillId="4" borderId="0" xfId="1" applyNumberFormat="1" applyFont="1" applyFill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0" fontId="3" fillId="0" borderId="0" xfId="0" applyFont="1"/>
    <xf numFmtId="43" fontId="5" fillId="0" borderId="0" xfId="1" applyFont="1" applyAlignment="1">
      <alignment vertical="center"/>
    </xf>
    <xf numFmtId="166" fontId="5" fillId="0" borderId="0" xfId="1" applyNumberFormat="1" applyFont="1" applyAlignment="1">
      <alignment vertical="center"/>
    </xf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/>
    <xf numFmtId="164" fontId="0" fillId="0" borderId="0" xfId="0" applyNumberFormat="1"/>
    <xf numFmtId="9" fontId="0" fillId="0" borderId="0" xfId="0" applyNumberFormat="1"/>
    <xf numFmtId="9" fontId="0" fillId="0" borderId="0" xfId="2" applyFont="1"/>
    <xf numFmtId="164" fontId="3" fillId="0" borderId="0" xfId="0" applyNumberFormat="1" applyFont="1"/>
    <xf numFmtId="10" fontId="0" fillId="0" borderId="0" xfId="0" applyNumberFormat="1"/>
    <xf numFmtId="0" fontId="0" fillId="0" borderId="0" xfId="0" applyAlignment="1">
      <alignment horizontal="left" indent="1"/>
    </xf>
    <xf numFmtId="0" fontId="2" fillId="5" borderId="0" xfId="0" applyFont="1" applyFill="1" applyAlignment="1">
      <alignment horizontal="center"/>
    </xf>
    <xf numFmtId="164" fontId="10" fillId="5" borderId="0" xfId="1" applyNumberFormat="1" applyFont="1" applyFill="1" applyAlignment="1">
      <alignment horizontal="center" vertical="center"/>
    </xf>
    <xf numFmtId="0" fontId="4" fillId="0" borderId="0" xfId="0" applyFont="1"/>
    <xf numFmtId="43" fontId="0" fillId="0" borderId="0" xfId="0" applyNumberFormat="1"/>
    <xf numFmtId="164" fontId="0" fillId="0" borderId="0" xfId="1" applyNumberFormat="1" applyFont="1" applyFill="1"/>
    <xf numFmtId="0" fontId="16" fillId="0" borderId="0" xfId="0" applyFont="1"/>
    <xf numFmtId="0" fontId="17" fillId="0" borderId="0" xfId="0" applyFont="1"/>
    <xf numFmtId="164" fontId="4" fillId="0" borderId="0" xfId="1" applyNumberFormat="1" applyFont="1"/>
    <xf numFmtId="164" fontId="4" fillId="0" borderId="0" xfId="0" applyNumberFormat="1" applyFont="1"/>
    <xf numFmtId="9" fontId="4" fillId="0" borderId="0" xfId="2" applyFont="1"/>
    <xf numFmtId="164" fontId="16" fillId="0" borderId="0" xfId="1" applyNumberFormat="1" applyFont="1"/>
    <xf numFmtId="0" fontId="0" fillId="0" borderId="0" xfId="0" applyFill="1"/>
    <xf numFmtId="164" fontId="3" fillId="0" borderId="0" xfId="1" applyNumberFormat="1" applyFont="1" applyFill="1"/>
    <xf numFmtId="165" fontId="16" fillId="0" borderId="0" xfId="0" applyNumberFormat="1" applyFont="1"/>
    <xf numFmtId="164" fontId="0" fillId="0" borderId="7" xfId="1" applyNumberFormat="1" applyFont="1" applyBorder="1"/>
    <xf numFmtId="0" fontId="0" fillId="0" borderId="7" xfId="0" applyBorder="1"/>
    <xf numFmtId="9" fontId="0" fillId="0" borderId="7" xfId="2" applyFont="1" applyBorder="1"/>
    <xf numFmtId="164" fontId="4" fillId="0" borderId="7" xfId="1" applyNumberFormat="1" applyFont="1" applyBorder="1" applyAlignment="1">
      <alignment vertical="center"/>
    </xf>
    <xf numFmtId="0" fontId="2" fillId="5" borderId="7" xfId="0" applyFont="1" applyFill="1" applyBorder="1" applyAlignment="1">
      <alignment horizontal="center"/>
    </xf>
    <xf numFmtId="0" fontId="3" fillId="6" borderId="7" xfId="0" applyFont="1" applyFill="1" applyBorder="1"/>
    <xf numFmtId="164" fontId="3" fillId="6" borderId="7" xfId="1" applyNumberFormat="1" applyFont="1" applyFill="1" applyBorder="1"/>
    <xf numFmtId="0" fontId="18" fillId="5" borderId="0" xfId="0" applyFont="1" applyFill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0" xfId="0" applyFont="1" applyBorder="1" applyAlignment="1">
      <alignment horizontal="left" vertical="center" indent="1"/>
    </xf>
    <xf numFmtId="3" fontId="20" fillId="0" borderId="11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19" fillId="6" borderId="10" xfId="0" applyFont="1" applyFill="1" applyBorder="1" applyAlignment="1">
      <alignment horizontal="left" vertical="center" indent="1"/>
    </xf>
    <xf numFmtId="3" fontId="19" fillId="6" borderId="11" xfId="0" applyNumberFormat="1" applyFont="1" applyFill="1" applyBorder="1" applyAlignment="1">
      <alignment vertical="center"/>
    </xf>
    <xf numFmtId="164" fontId="10" fillId="5" borderId="7" xfId="1" applyNumberFormat="1" applyFont="1" applyFill="1" applyBorder="1" applyAlignment="1">
      <alignment horizontal="center" vertical="center"/>
    </xf>
    <xf numFmtId="0" fontId="3" fillId="0" borderId="7" xfId="0" applyFont="1" applyBorder="1"/>
    <xf numFmtId="164" fontId="0" fillId="6" borderId="7" xfId="1" applyNumberFormat="1" applyFont="1" applyFill="1" applyBorder="1"/>
    <xf numFmtId="0" fontId="0" fillId="0" borderId="7" xfId="0" applyFont="1" applyBorder="1"/>
    <xf numFmtId="2" fontId="0" fillId="0" borderId="7" xfId="0" applyNumberFormat="1" applyBorder="1"/>
    <xf numFmtId="0" fontId="21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164" fontId="0" fillId="0" borderId="7" xfId="0" applyNumberFormat="1" applyBorder="1"/>
    <xf numFmtId="164" fontId="0" fillId="0" borderId="0" xfId="1" quotePrefix="1" applyNumberFormat="1" applyFont="1"/>
    <xf numFmtId="9" fontId="0" fillId="0" borderId="0" xfId="2" quotePrefix="1" applyFont="1"/>
    <xf numFmtId="164" fontId="14" fillId="2" borderId="3" xfId="1" applyNumberFormat="1" applyFont="1" applyFill="1" applyBorder="1" applyAlignment="1">
      <alignment horizontal="left" vertical="center" indent="2"/>
    </xf>
    <xf numFmtId="164" fontId="14" fillId="2" borderId="0" xfId="1" applyNumberFormat="1" applyFont="1" applyFill="1" applyBorder="1" applyAlignment="1">
      <alignment horizontal="left" vertical="center" indent="2"/>
    </xf>
    <xf numFmtId="164" fontId="14" fillId="2" borderId="4" xfId="1" applyNumberFormat="1" applyFont="1" applyFill="1" applyBorder="1" applyAlignment="1">
      <alignment horizontal="left" vertical="center" indent="2"/>
    </xf>
    <xf numFmtId="164" fontId="14" fillId="2" borderId="5" xfId="1" applyNumberFormat="1" applyFont="1" applyFill="1" applyBorder="1" applyAlignment="1">
      <alignment horizontal="left" vertical="center" indent="2"/>
    </xf>
    <xf numFmtId="164" fontId="11" fillId="3" borderId="1" xfId="1" applyNumberFormat="1" applyFont="1" applyFill="1" applyBorder="1" applyAlignment="1">
      <alignment horizontal="left" vertical="center" indent="2"/>
    </xf>
    <xf numFmtId="164" fontId="11" fillId="3" borderId="3" xfId="1" applyNumberFormat="1" applyFont="1" applyFill="1" applyBorder="1" applyAlignment="1">
      <alignment horizontal="left" vertical="center" indent="2"/>
    </xf>
    <xf numFmtId="0" fontId="22" fillId="0" borderId="0" xfId="0" applyFont="1"/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7" xfId="3" applyFont="1" applyBorder="1" applyAlignment="1">
      <alignment horizontal="center" vertical="center" wrapText="1"/>
    </xf>
    <xf numFmtId="0" fontId="26" fillId="0" borderId="7" xfId="3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justify" vertical="top" wrapText="1"/>
    </xf>
    <xf numFmtId="0" fontId="0" fillId="0" borderId="7" xfId="0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7" xfId="1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justify" vertical="top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wrapText="1"/>
    </xf>
    <xf numFmtId="43" fontId="0" fillId="0" borderId="7" xfId="1" applyFont="1" applyBorder="1" applyAlignment="1">
      <alignment horizontal="center" wrapText="1"/>
    </xf>
    <xf numFmtId="43" fontId="0" fillId="0" borderId="7" xfId="1" applyFont="1" applyBorder="1" applyAlignment="1">
      <alignment horizontal="right" wrapText="1"/>
    </xf>
    <xf numFmtId="43" fontId="0" fillId="0" borderId="7" xfId="1" applyFont="1" applyFill="1" applyBorder="1" applyAlignment="1">
      <alignment horizontal="center"/>
    </xf>
    <xf numFmtId="43" fontId="0" fillId="0" borderId="7" xfId="1" applyFont="1" applyFill="1" applyBorder="1" applyAlignment="1">
      <alignment horizontal="right"/>
    </xf>
    <xf numFmtId="164" fontId="0" fillId="0" borderId="7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43" fontId="0" fillId="0" borderId="7" xfId="1" applyFont="1" applyFill="1" applyBorder="1" applyAlignment="1">
      <alignment horizontal="center" wrapText="1"/>
    </xf>
    <xf numFmtId="43" fontId="0" fillId="0" borderId="7" xfId="1" applyFont="1" applyFill="1" applyBorder="1" applyAlignment="1">
      <alignment horizontal="right" wrapText="1"/>
    </xf>
    <xf numFmtId="0" fontId="3" fillId="0" borderId="7" xfId="0" applyFont="1" applyBorder="1" applyAlignment="1">
      <alignment horizontal="justify" vertical="justify" wrapText="1"/>
    </xf>
    <xf numFmtId="0" fontId="3" fillId="0" borderId="7" xfId="0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3" fillId="0" borderId="7" xfId="0" applyFont="1" applyBorder="1" applyAlignment="1">
      <alignment horizontal="left" vertical="center" wrapText="1"/>
    </xf>
    <xf numFmtId="164" fontId="23" fillId="0" borderId="7" xfId="1" applyNumberFormat="1" applyFont="1" applyFill="1" applyBorder="1" applyAlignment="1">
      <alignment vertical="center"/>
    </xf>
    <xf numFmtId="0" fontId="25" fillId="0" borderId="0" xfId="0" applyFont="1" applyAlignment="1">
      <alignment horizontal="center"/>
    </xf>
    <xf numFmtId="0" fontId="27" fillId="0" borderId="7" xfId="3" applyFont="1" applyBorder="1" applyAlignment="1">
      <alignment horizontal="right"/>
    </xf>
    <xf numFmtId="0" fontId="27" fillId="0" borderId="7" xfId="3" applyFont="1" applyBorder="1"/>
    <xf numFmtId="43" fontId="27" fillId="0" borderId="7" xfId="4" applyFont="1" applyBorder="1"/>
    <xf numFmtId="0" fontId="26" fillId="7" borderId="7" xfId="3" applyFont="1" applyFill="1" applyBorder="1" applyAlignment="1">
      <alignment horizontal="center"/>
    </xf>
    <xf numFmtId="0" fontId="26" fillId="7" borderId="7" xfId="3" applyFont="1" applyFill="1" applyBorder="1"/>
    <xf numFmtId="164" fontId="27" fillId="0" borderId="7" xfId="1" applyNumberFormat="1" applyFont="1" applyBorder="1"/>
    <xf numFmtId="0" fontId="27" fillId="0" borderId="7" xfId="3" applyFont="1" applyBorder="1" applyAlignment="1">
      <alignment horizontal="center" vertical="center"/>
    </xf>
    <xf numFmtId="43" fontId="27" fillId="0" borderId="7" xfId="1" applyFont="1" applyBorder="1" applyAlignment="1">
      <alignment horizontal="center"/>
    </xf>
    <xf numFmtId="164" fontId="27" fillId="0" borderId="7" xfId="1" applyNumberFormat="1" applyFont="1" applyBorder="1" applyAlignment="1">
      <alignment horizontal="center"/>
    </xf>
    <xf numFmtId="0" fontId="26" fillId="7" borderId="7" xfId="3" applyFont="1" applyFill="1" applyBorder="1" applyAlignment="1">
      <alignment horizontal="center" vertical="center"/>
    </xf>
    <xf numFmtId="0" fontId="26" fillId="7" borderId="7" xfId="3" applyFont="1" applyFill="1" applyBorder="1" applyAlignment="1">
      <alignment horizontal="left"/>
    </xf>
    <xf numFmtId="164" fontId="27" fillId="0" borderId="7" xfId="1" applyNumberFormat="1" applyFont="1" applyFill="1" applyBorder="1" applyAlignment="1">
      <alignment horizontal="center"/>
    </xf>
    <xf numFmtId="0" fontId="27" fillId="0" borderId="7" xfId="3" applyFont="1" applyBorder="1" applyAlignment="1">
      <alignment horizontal="left"/>
    </xf>
    <xf numFmtId="0" fontId="27" fillId="0" borderId="7" xfId="3" applyFont="1" applyBorder="1" applyAlignment="1">
      <alignment horizontal="center"/>
    </xf>
    <xf numFmtId="43" fontId="27" fillId="0" borderId="7" xfId="1" applyFont="1" applyFill="1" applyBorder="1" applyAlignment="1">
      <alignment horizontal="center"/>
    </xf>
    <xf numFmtId="0" fontId="27" fillId="0" borderId="7" xfId="3" applyFont="1" applyBorder="1" applyAlignment="1">
      <alignment horizontal="left" wrapText="1"/>
    </xf>
    <xf numFmtId="0" fontId="27" fillId="0" borderId="7" xfId="3" applyFont="1" applyBorder="1" applyAlignment="1">
      <alignment horizontal="center" wrapText="1"/>
    </xf>
    <xf numFmtId="0" fontId="27" fillId="0" borderId="7" xfId="3" applyFont="1" applyBorder="1" applyAlignment="1">
      <alignment wrapText="1"/>
    </xf>
    <xf numFmtId="164" fontId="26" fillId="0" borderId="7" xfId="1" applyNumberFormat="1" applyFont="1" applyFill="1" applyBorder="1" applyAlignment="1"/>
    <xf numFmtId="0" fontId="26" fillId="7" borderId="7" xfId="3" applyFont="1" applyFill="1" applyBorder="1" applyAlignment="1">
      <alignment horizontal="center" vertical="center" wrapText="1"/>
    </xf>
    <xf numFmtId="0" fontId="26" fillId="7" borderId="7" xfId="3" applyFont="1" applyFill="1" applyBorder="1" applyAlignment="1">
      <alignment horizontal="left" vertical="center"/>
    </xf>
    <xf numFmtId="0" fontId="28" fillId="0" borderId="7" xfId="3" applyFont="1" applyBorder="1" applyAlignment="1">
      <alignment horizontal="center" vertical="center" wrapText="1"/>
    </xf>
    <xf numFmtId="0" fontId="29" fillId="0" borderId="7" xfId="3" applyFont="1" applyBorder="1" applyAlignment="1">
      <alignment horizontal="left" vertical="center"/>
    </xf>
    <xf numFmtId="164" fontId="0" fillId="0" borderId="7" xfId="1" applyNumberFormat="1" applyFont="1" applyBorder="1" applyAlignment="1">
      <alignment horizontal="center"/>
    </xf>
    <xf numFmtId="0" fontId="30" fillId="0" borderId="7" xfId="3" applyFont="1" applyBorder="1" applyAlignment="1">
      <alignment horizontal="center" vertical="center"/>
    </xf>
    <xf numFmtId="0" fontId="30" fillId="0" borderId="7" xfId="3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horizontal="center"/>
    </xf>
    <xf numFmtId="0" fontId="27" fillId="0" borderId="7" xfId="3" applyFont="1" applyBorder="1" applyAlignment="1">
      <alignment horizontal="left" vertical="center"/>
    </xf>
    <xf numFmtId="43" fontId="27" fillId="0" borderId="7" xfId="1" applyFont="1" applyFill="1" applyBorder="1" applyAlignment="1">
      <alignment horizontal="center" vertical="center"/>
    </xf>
    <xf numFmtId="164" fontId="27" fillId="0" borderId="7" xfId="1" applyNumberFormat="1" applyFont="1" applyBorder="1" applyAlignment="1">
      <alignment horizontal="center" vertical="center" wrapText="1"/>
    </xf>
    <xf numFmtId="164" fontId="27" fillId="0" borderId="7" xfId="1" applyNumberFormat="1" applyFont="1" applyFill="1" applyBorder="1" applyAlignment="1">
      <alignment horizontal="center" vertical="center"/>
    </xf>
    <xf numFmtId="0" fontId="31" fillId="0" borderId="7" xfId="3" applyFont="1" applyBorder="1" applyAlignment="1">
      <alignment horizontal="left" vertical="center"/>
    </xf>
    <xf numFmtId="0" fontId="28" fillId="0" borderId="7" xfId="3" applyFont="1" applyBorder="1" applyAlignment="1">
      <alignment horizontal="left" vertical="center"/>
    </xf>
    <xf numFmtId="164" fontId="27" fillId="0" borderId="7" xfId="1" applyNumberFormat="1" applyFont="1" applyBorder="1" applyAlignment="1">
      <alignment horizontal="center" vertical="center"/>
    </xf>
    <xf numFmtId="164" fontId="30" fillId="0" borderId="7" xfId="1" applyNumberFormat="1" applyFont="1" applyBorder="1" applyAlignment="1">
      <alignment horizontal="center" vertical="center" wrapText="1"/>
    </xf>
    <xf numFmtId="164" fontId="30" fillId="0" borderId="7" xfId="1" applyNumberFormat="1" applyFont="1" applyBorder="1" applyAlignment="1">
      <alignment horizontal="center" vertical="center"/>
    </xf>
    <xf numFmtId="0" fontId="27" fillId="0" borderId="17" xfId="3" applyFont="1" applyBorder="1" applyAlignment="1">
      <alignment horizontal="center" vertical="center" wrapText="1"/>
    </xf>
    <xf numFmtId="43" fontId="27" fillId="0" borderId="7" xfId="1" applyFont="1" applyBorder="1" applyAlignment="1">
      <alignment horizontal="center" vertical="center"/>
    </xf>
    <xf numFmtId="0" fontId="27" fillId="0" borderId="7" xfId="3" applyFont="1" applyBorder="1" applyAlignment="1">
      <alignment horizontal="center" vertical="center" wrapText="1"/>
    </xf>
    <xf numFmtId="164" fontId="27" fillId="8" borderId="7" xfId="1" applyNumberFormat="1" applyFont="1" applyFill="1" applyBorder="1" applyAlignment="1">
      <alignment horizontal="center" vertical="center"/>
    </xf>
    <xf numFmtId="164" fontId="27" fillId="8" borderId="7" xfId="1" applyNumberFormat="1" applyFont="1" applyFill="1" applyBorder="1" applyAlignment="1">
      <alignment horizontal="center" vertical="center" wrapText="1"/>
    </xf>
    <xf numFmtId="43" fontId="27" fillId="8" borderId="7" xfId="1" applyFont="1" applyFill="1" applyBorder="1" applyAlignment="1">
      <alignment horizontal="center" vertical="center"/>
    </xf>
    <xf numFmtId="0" fontId="28" fillId="0" borderId="7" xfId="3" applyFont="1" applyBorder="1" applyAlignment="1">
      <alignment horizontal="center" vertical="center"/>
    </xf>
    <xf numFmtId="164" fontId="1" fillId="0" borderId="7" xfId="1" applyNumberFormat="1" applyFont="1" applyFill="1" applyBorder="1" applyAlignment="1">
      <alignment horizontal="center"/>
    </xf>
    <xf numFmtId="0" fontId="28" fillId="0" borderId="0" xfId="3" applyFont="1" applyAlignment="1">
      <alignment horizontal="center" vertical="center" wrapText="1"/>
    </xf>
    <xf numFmtId="0" fontId="27" fillId="0" borderId="0" xfId="3" applyFont="1" applyAlignment="1">
      <alignment horizontal="left" vertical="center"/>
    </xf>
    <xf numFmtId="0" fontId="27" fillId="0" borderId="0" xfId="3" applyFont="1" applyAlignment="1">
      <alignment horizontal="center" vertical="center"/>
    </xf>
    <xf numFmtId="43" fontId="27" fillId="0" borderId="0" xfId="1" applyFont="1" applyFill="1" applyBorder="1" applyAlignment="1">
      <alignment horizontal="center" vertical="center"/>
    </xf>
    <xf numFmtId="164" fontId="27" fillId="0" borderId="0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/>
    </xf>
    <xf numFmtId="164" fontId="27" fillId="0" borderId="0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/>
    </xf>
    <xf numFmtId="0" fontId="27" fillId="0" borderId="0" xfId="3" applyFont="1" applyAlignment="1">
      <alignment horizontal="center" vertical="center" wrapText="1"/>
    </xf>
    <xf numFmtId="43" fontId="27" fillId="0" borderId="0" xfId="1" applyFont="1" applyBorder="1" applyAlignment="1">
      <alignment horizontal="center" vertical="center"/>
    </xf>
    <xf numFmtId="0" fontId="32" fillId="0" borderId="7" xfId="0" applyFont="1" applyBorder="1"/>
    <xf numFmtId="0" fontId="27" fillId="0" borderId="7" xfId="3" applyFont="1" applyBorder="1" applyAlignment="1">
      <alignment horizontal="left" vertical="center" wrapText="1"/>
    </xf>
    <xf numFmtId="167" fontId="0" fillId="0" borderId="0" xfId="0" applyNumberFormat="1"/>
    <xf numFmtId="164" fontId="3" fillId="0" borderId="0" xfId="1" applyNumberFormat="1" applyFont="1" applyFill="1" applyBorder="1" applyAlignment="1">
      <alignment horizontal="center"/>
    </xf>
    <xf numFmtId="167" fontId="0" fillId="0" borderId="0" xfId="1" applyNumberFormat="1" applyFont="1"/>
    <xf numFmtId="168" fontId="0" fillId="0" borderId="0" xfId="1" applyNumberFormat="1" applyFont="1"/>
    <xf numFmtId="164" fontId="5" fillId="0" borderId="0" xfId="1" applyNumberFormat="1" applyFont="1" applyBorder="1" applyAlignment="1">
      <alignment vertical="center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left"/>
    </xf>
    <xf numFmtId="164" fontId="0" fillId="0" borderId="0" xfId="1" applyNumberFormat="1" applyFont="1" applyBorder="1"/>
    <xf numFmtId="0" fontId="34" fillId="0" borderId="20" xfId="0" applyFont="1" applyBorder="1" applyAlignment="1">
      <alignment vertical="center"/>
    </xf>
    <xf numFmtId="0" fontId="34" fillId="0" borderId="0" xfId="0" applyFont="1" applyAlignment="1">
      <alignment vertical="center"/>
    </xf>
    <xf numFmtId="164" fontId="34" fillId="0" borderId="0" xfId="1" applyNumberFormat="1" applyFont="1" applyBorder="1" applyAlignment="1">
      <alignment vertical="center"/>
    </xf>
    <xf numFmtId="0" fontId="35" fillId="0" borderId="7" xfId="0" applyFont="1" applyBorder="1" applyAlignment="1">
      <alignment horizontal="center" vertical="center"/>
    </xf>
    <xf numFmtId="164" fontId="35" fillId="0" borderId="7" xfId="1" applyNumberFormat="1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 wrapText="1"/>
    </xf>
    <xf numFmtId="0" fontId="34" fillId="0" borderId="7" xfId="0" applyFont="1" applyBorder="1" applyAlignment="1">
      <alignment vertical="center" wrapText="1"/>
    </xf>
    <xf numFmtId="164" fontId="34" fillId="0" borderId="7" xfId="1" applyNumberFormat="1" applyFont="1" applyFill="1" applyBorder="1" applyAlignment="1">
      <alignment vertical="center" wrapText="1"/>
    </xf>
    <xf numFmtId="164" fontId="34" fillId="0" borderId="7" xfId="1" applyNumberFormat="1" applyFont="1" applyBorder="1" applyAlignment="1">
      <alignment vertical="center" wrapText="1"/>
    </xf>
    <xf numFmtId="0" fontId="34" fillId="0" borderId="20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164" fontId="34" fillId="0" borderId="0" xfId="1" applyNumberFormat="1" applyFont="1" applyBorder="1" applyAlignment="1">
      <alignment vertical="center" wrapText="1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164" fontId="35" fillId="0" borderId="23" xfId="1" applyNumberFormat="1" applyFont="1" applyFill="1" applyBorder="1" applyAlignment="1">
      <alignment vertical="center"/>
    </xf>
    <xf numFmtId="164" fontId="34" fillId="0" borderId="23" xfId="1" applyNumberFormat="1" applyFont="1" applyBorder="1" applyAlignment="1">
      <alignment vertical="center"/>
    </xf>
    <xf numFmtId="164" fontId="35" fillId="0" borderId="23" xfId="1" applyNumberFormat="1" applyFont="1" applyBorder="1" applyAlignment="1">
      <alignment vertical="center"/>
    </xf>
    <xf numFmtId="164" fontId="35" fillId="0" borderId="0" xfId="1" applyNumberFormat="1" applyFont="1" applyFill="1" applyBorder="1" applyAlignment="1">
      <alignment vertical="center"/>
    </xf>
    <xf numFmtId="164" fontId="35" fillId="0" borderId="0" xfId="1" applyNumberFormat="1" applyFont="1" applyBorder="1" applyAlignment="1">
      <alignment vertical="center"/>
    </xf>
    <xf numFmtId="164" fontId="34" fillId="0" borderId="0" xfId="0" applyNumberFormat="1" applyFont="1" applyAlignment="1">
      <alignment vertical="center"/>
    </xf>
    <xf numFmtId="43" fontId="34" fillId="0" borderId="0" xfId="1" applyFont="1" applyAlignment="1">
      <alignment vertical="center"/>
    </xf>
    <xf numFmtId="164" fontId="34" fillId="0" borderId="0" xfId="1" applyNumberFormat="1" applyFont="1" applyAlignment="1">
      <alignment vertical="center"/>
    </xf>
    <xf numFmtId="164" fontId="34" fillId="0" borderId="7" xfId="1" applyNumberFormat="1" applyFont="1" applyBorder="1" applyAlignment="1">
      <alignment vertical="center"/>
    </xf>
    <xf numFmtId="164" fontId="4" fillId="0" borderId="0" xfId="1" applyNumberFormat="1" applyFont="1" applyFill="1" applyAlignment="1">
      <alignment vertical="center"/>
    </xf>
    <xf numFmtId="164" fontId="0" fillId="0" borderId="0" xfId="0" applyNumberFormat="1" applyFill="1"/>
    <xf numFmtId="164" fontId="0" fillId="0" borderId="6" xfId="1" applyNumberFormat="1" applyFont="1" applyBorder="1"/>
    <xf numFmtId="0" fontId="27" fillId="0" borderId="7" xfId="3" applyFont="1" applyFill="1" applyBorder="1" applyAlignment="1">
      <alignment horizontal="center" vertical="center"/>
    </xf>
    <xf numFmtId="165" fontId="4" fillId="0" borderId="0" xfId="0" applyNumberFormat="1" applyFont="1"/>
    <xf numFmtId="0" fontId="0" fillId="0" borderId="7" xfId="0" applyFont="1" applyBorder="1" applyAlignment="1">
      <alignment horizontal="center"/>
    </xf>
    <xf numFmtId="164" fontId="0" fillId="0" borderId="7" xfId="0" applyNumberFormat="1" applyFont="1" applyBorder="1"/>
    <xf numFmtId="0" fontId="3" fillId="0" borderId="7" xfId="0" applyFont="1" applyBorder="1" applyAlignment="1">
      <alignment horizontal="right"/>
    </xf>
    <xf numFmtId="164" fontId="3" fillId="0" borderId="7" xfId="0" applyNumberFormat="1" applyFont="1" applyBorder="1"/>
    <xf numFmtId="0" fontId="36" fillId="5" borderId="7" xfId="3" applyFont="1" applyFill="1" applyBorder="1" applyAlignment="1">
      <alignment horizontal="center" vertical="center" wrapText="1"/>
    </xf>
    <xf numFmtId="0" fontId="36" fillId="5" borderId="7" xfId="3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0" fillId="0" borderId="0" xfId="0" applyBorder="1"/>
    <xf numFmtId="0" fontId="0" fillId="0" borderId="24" xfId="0" applyBorder="1"/>
    <xf numFmtId="0" fontId="0" fillId="0" borderId="20" xfId="0" applyFill="1" applyBorder="1"/>
    <xf numFmtId="164" fontId="0" fillId="0" borderId="24" xfId="1" applyNumberFormat="1" applyFont="1" applyBorder="1"/>
    <xf numFmtId="0" fontId="33" fillId="0" borderId="0" xfId="0" applyFont="1" applyBorder="1"/>
    <xf numFmtId="0" fontId="0" fillId="0" borderId="21" xfId="0" applyFill="1" applyBorder="1"/>
    <xf numFmtId="0" fontId="0" fillId="0" borderId="22" xfId="0" applyBorder="1"/>
    <xf numFmtId="0" fontId="33" fillId="0" borderId="18" xfId="0" applyFont="1" applyBorder="1"/>
    <xf numFmtId="0" fontId="33" fillId="0" borderId="19" xfId="0" applyFont="1" applyBorder="1"/>
    <xf numFmtId="0" fontId="0" fillId="0" borderId="19" xfId="0" applyBorder="1"/>
    <xf numFmtId="0" fontId="0" fillId="0" borderId="9" xfId="0" applyBorder="1"/>
    <xf numFmtId="0" fontId="3" fillId="0" borderId="18" xfId="0" applyFont="1" applyBorder="1"/>
    <xf numFmtId="0" fontId="3" fillId="0" borderId="18" xfId="0" applyFont="1" applyFill="1" applyBorder="1"/>
    <xf numFmtId="0" fontId="38" fillId="0" borderId="20" xfId="0" applyFont="1" applyBorder="1"/>
    <xf numFmtId="0" fontId="38" fillId="0" borderId="20" xfId="0" applyFont="1" applyFill="1" applyBorder="1"/>
    <xf numFmtId="0" fontId="24" fillId="0" borderId="0" xfId="0" applyFont="1"/>
    <xf numFmtId="164" fontId="16" fillId="0" borderId="0" xfId="1" applyNumberFormat="1" applyFont="1" applyAlignment="1">
      <alignment vertical="center"/>
    </xf>
    <xf numFmtId="164" fontId="39" fillId="0" borderId="0" xfId="1" applyNumberFormat="1" applyFont="1" applyAlignment="1">
      <alignment vertical="center"/>
    </xf>
    <xf numFmtId="164" fontId="3" fillId="0" borderId="6" xfId="0" applyNumberFormat="1" applyFont="1" applyBorder="1"/>
    <xf numFmtId="164" fontId="3" fillId="0" borderId="0" xfId="0" applyNumberFormat="1" applyFont="1" applyBorder="1"/>
    <xf numFmtId="164" fontId="0" fillId="0" borderId="24" xfId="1" applyNumberFormat="1" applyFont="1" applyFill="1" applyBorder="1"/>
    <xf numFmtId="164" fontId="0" fillId="0" borderId="9" xfId="1" applyNumberFormat="1" applyFont="1" applyFill="1" applyBorder="1"/>
    <xf numFmtId="164" fontId="5" fillId="0" borderId="11" xfId="1" applyNumberFormat="1" applyFont="1" applyFill="1" applyBorder="1" applyAlignment="1">
      <alignment vertical="center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4" fontId="0" fillId="9" borderId="0" xfId="1" applyNumberFormat="1" applyFont="1" applyFill="1"/>
    <xf numFmtId="9" fontId="0" fillId="9" borderId="0" xfId="2" applyFont="1" applyFill="1"/>
    <xf numFmtId="0" fontId="0" fillId="9" borderId="0" xfId="0" applyFill="1"/>
    <xf numFmtId="165" fontId="0" fillId="9" borderId="0" xfId="2" applyNumberFormat="1" applyFont="1" applyFill="1"/>
    <xf numFmtId="43" fontId="0" fillId="9" borderId="7" xfId="1" applyFont="1" applyFill="1" applyBorder="1" applyAlignment="1">
      <alignment horizontal="right"/>
    </xf>
    <xf numFmtId="164" fontId="0" fillId="9" borderId="7" xfId="1" applyNumberFormat="1" applyFont="1" applyFill="1" applyBorder="1" applyAlignment="1">
      <alignment horizontal="right"/>
    </xf>
    <xf numFmtId="43" fontId="27" fillId="9" borderId="7" xfId="1" applyFont="1" applyFill="1" applyBorder="1" applyAlignment="1">
      <alignment horizontal="center"/>
    </xf>
    <xf numFmtId="164" fontId="27" fillId="9" borderId="7" xfId="1" applyNumberFormat="1" applyFont="1" applyFill="1" applyBorder="1" applyAlignment="1">
      <alignment horizontal="center"/>
    </xf>
    <xf numFmtId="164" fontId="27" fillId="9" borderId="7" xfId="1" applyNumberFormat="1" applyFont="1" applyFill="1" applyBorder="1" applyAlignment="1">
      <alignment horizontal="center" vertical="center" wrapText="1"/>
    </xf>
    <xf numFmtId="9" fontId="34" fillId="9" borderId="7" xfId="2" applyFont="1" applyFill="1" applyBorder="1" applyAlignment="1">
      <alignment vertical="center" wrapText="1"/>
    </xf>
    <xf numFmtId="9" fontId="34" fillId="9" borderId="0" xfId="2" applyFont="1" applyFill="1" applyAlignment="1">
      <alignment vertical="center"/>
    </xf>
    <xf numFmtId="9" fontId="0" fillId="9" borderId="0" xfId="0" applyNumberFormat="1" applyFill="1"/>
    <xf numFmtId="9" fontId="0" fillId="9" borderId="0" xfId="0" applyNumberFormat="1" applyFill="1" applyBorder="1"/>
    <xf numFmtId="10" fontId="0" fillId="9" borderId="0" xfId="0" applyNumberFormat="1" applyFill="1" applyBorder="1"/>
    <xf numFmtId="164" fontId="0" fillId="9" borderId="0" xfId="1" applyNumberFormat="1" applyFont="1" applyFill="1" applyBorder="1"/>
    <xf numFmtId="0" fontId="33" fillId="0" borderId="0" xfId="0" applyFont="1"/>
    <xf numFmtId="9" fontId="0" fillId="10" borderId="0" xfId="0" applyNumberFormat="1" applyFill="1"/>
    <xf numFmtId="9" fontId="4" fillId="10" borderId="0" xfId="0" applyNumberFormat="1" applyFont="1" applyFill="1"/>
    <xf numFmtId="0" fontId="4" fillId="10" borderId="0" xfId="0" applyFont="1" applyFill="1"/>
    <xf numFmtId="0" fontId="4" fillId="0" borderId="0" xfId="0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16" fillId="0" borderId="0" xfId="1" applyNumberFormat="1" applyFont="1" applyAlignment="1">
      <alignment horizontal="center"/>
    </xf>
    <xf numFmtId="164" fontId="0" fillId="10" borderId="0" xfId="1" applyNumberFormat="1" applyFont="1" applyFill="1"/>
    <xf numFmtId="164" fontId="4" fillId="10" borderId="0" xfId="0" applyNumberFormat="1" applyFont="1" applyFill="1" applyAlignment="1">
      <alignment horizontal="center"/>
    </xf>
    <xf numFmtId="9" fontId="4" fillId="0" borderId="0" xfId="2" applyFont="1" applyAlignment="1">
      <alignment horizontal="center"/>
    </xf>
    <xf numFmtId="0" fontId="21" fillId="5" borderId="12" xfId="0" applyFont="1" applyFill="1" applyBorder="1" applyAlignment="1">
      <alignment horizontal="left" vertical="center"/>
    </xf>
    <xf numFmtId="0" fontId="21" fillId="5" borderId="13" xfId="0" applyFont="1" applyFill="1" applyBorder="1" applyAlignment="1">
      <alignment horizontal="left" vertical="center"/>
    </xf>
    <xf numFmtId="164" fontId="14" fillId="2" borderId="0" xfId="1" applyNumberFormat="1" applyFont="1" applyFill="1" applyBorder="1" applyAlignment="1">
      <alignment horizontal="center" vertical="center"/>
    </xf>
    <xf numFmtId="164" fontId="14" fillId="2" borderId="5" xfId="1" applyNumberFormat="1" applyFont="1" applyFill="1" applyBorder="1" applyAlignment="1">
      <alignment horizontal="center" vertical="center"/>
    </xf>
    <xf numFmtId="164" fontId="11" fillId="3" borderId="2" xfId="1" applyNumberFormat="1" applyFont="1" applyFill="1" applyBorder="1" applyAlignment="1">
      <alignment horizontal="center" vertical="center"/>
    </xf>
    <xf numFmtId="164" fontId="11" fillId="3" borderId="0" xfId="1" applyNumberFormat="1" applyFont="1" applyFill="1" applyBorder="1" applyAlignment="1">
      <alignment horizontal="center" vertical="center"/>
    </xf>
    <xf numFmtId="165" fontId="14" fillId="2" borderId="0" xfId="2" applyNumberFormat="1" applyFont="1" applyFill="1" applyBorder="1" applyAlignment="1">
      <alignment horizontal="right" vertical="center"/>
    </xf>
    <xf numFmtId="0" fontId="41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3" fillId="0" borderId="14" xfId="0" applyFont="1" applyBorder="1" applyAlignment="1">
      <alignment horizontal="right" vertical="center" wrapText="1"/>
    </xf>
    <xf numFmtId="0" fontId="23" fillId="0" borderId="15" xfId="0" applyFont="1" applyBorder="1" applyAlignment="1">
      <alignment horizontal="right" vertical="center" wrapText="1"/>
    </xf>
    <xf numFmtId="0" fontId="26" fillId="0" borderId="14" xfId="3" applyFont="1" applyBorder="1" applyAlignment="1">
      <alignment horizontal="right"/>
    </xf>
    <xf numFmtId="0" fontId="26" fillId="0" borderId="15" xfId="3" applyFont="1" applyBorder="1" applyAlignment="1">
      <alignment horizontal="right"/>
    </xf>
    <xf numFmtId="0" fontId="26" fillId="0" borderId="16" xfId="3" applyFont="1" applyBorder="1" applyAlignment="1">
      <alignment horizontal="right"/>
    </xf>
    <xf numFmtId="0" fontId="37" fillId="5" borderId="18" xfId="0" applyFont="1" applyFill="1" applyBorder="1" applyAlignment="1">
      <alignment horizontal="center" vertical="center"/>
    </xf>
    <xf numFmtId="0" fontId="37" fillId="5" borderId="19" xfId="0" applyFont="1" applyFill="1" applyBorder="1" applyAlignment="1">
      <alignment horizontal="center" vertical="center"/>
    </xf>
    <xf numFmtId="0" fontId="37" fillId="5" borderId="9" xfId="0" applyFont="1" applyFill="1" applyBorder="1" applyAlignment="1">
      <alignment horizontal="center" vertical="center"/>
    </xf>
  </cellXfs>
  <cellStyles count="5">
    <cellStyle name="Comma" xfId="1" builtinId="3"/>
    <cellStyle name="Comma 2" xfId="4" xr:uid="{00000000-0005-0000-0000-000001000000}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5482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</xdr:rowOff>
    </xdr:from>
    <xdr:to>
      <xdr:col>16</xdr:col>
      <xdr:colOff>20046</xdr:colOff>
      <xdr:row>37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846381-AC33-4C2A-A49B-0A9184BD9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9773646" cy="690626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7</xdr:col>
      <xdr:colOff>122465</xdr:colOff>
      <xdr:row>37</xdr:row>
      <xdr:rowOff>142874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F489374-8E15-4E74-AE6A-575030A0EA19}"/>
            </a:ext>
          </a:extLst>
        </xdr:cNvPr>
        <xdr:cNvSpPr/>
      </xdr:nvSpPr>
      <xdr:spPr>
        <a:xfrm>
          <a:off x="1" y="0"/>
          <a:ext cx="4389664" cy="6909434"/>
        </a:xfrm>
        <a:prstGeom prst="rect">
          <a:avLst/>
        </a:prstGeom>
        <a:solidFill>
          <a:schemeClr val="tx1">
            <a:lumMod val="95000"/>
            <a:lumOff val="5000"/>
            <a:alpha val="57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10291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820583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230874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641165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051456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461748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872039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282330" algn="l" defTabSz="410291" rtl="0" eaLnBrk="1" latinLnBrk="0" hangingPunct="1">
            <a:defRPr sz="16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0</xdr:col>
      <xdr:colOff>367396</xdr:colOff>
      <xdr:row>17</xdr:row>
      <xdr:rowOff>27214</xdr:rowOff>
    </xdr:from>
    <xdr:to>
      <xdr:col>6</xdr:col>
      <xdr:colOff>182571</xdr:colOff>
      <xdr:row>29</xdr:row>
      <xdr:rowOff>93229</xdr:rowOff>
    </xdr:to>
    <xdr:sp macro="" textlink="">
      <xdr:nvSpPr>
        <xdr:cNvPr id="4" name="Title 3">
          <a:extLst>
            <a:ext uri="{FF2B5EF4-FFF2-40B4-BE49-F238E27FC236}">
              <a16:creationId xmlns:a16="http://schemas.microsoft.com/office/drawing/2014/main" id="{997CA6BE-4E84-4199-90E5-E36B3416CF59}"/>
            </a:ext>
          </a:extLst>
        </xdr:cNvPr>
        <xdr:cNvSpPr>
          <a:spLocks noGrp="1"/>
        </xdr:cNvSpPr>
      </xdr:nvSpPr>
      <xdr:spPr>
        <a:xfrm>
          <a:off x="367396" y="3136174"/>
          <a:ext cx="3472775" cy="2260575"/>
        </a:xfrm>
        <a:prstGeom prst="rect">
          <a:avLst/>
        </a:prstGeom>
        <a:noFill/>
      </xdr:spPr>
      <xdr:txBody>
        <a:bodyPr vert="horz" wrap="square" lIns="0" tIns="0" rIns="0" bIns="0" rtlCol="0" anchor="b" anchorCtr="0">
          <a:noAutofit/>
        </a:bodyPr>
        <a:lstStyle>
          <a:lvl1pPr algn="ctr" eaLnBrk="1" hangingPunct="1">
            <a:lnSpc>
              <a:spcPct val="100000"/>
            </a:lnSpc>
            <a:defRPr sz="6000" b="0" i="0">
              <a:solidFill>
                <a:srgbClr val="00338D"/>
              </a:solidFill>
              <a:latin typeface="KPMG Extralight"/>
              <a:cs typeface="KPMG Extralight"/>
            </a:defRPr>
          </a:lvl1pPr>
        </a:lstStyle>
        <a:p>
          <a:pPr marL="0" indent="0" algn="l" defTabSz="844083" rtl="0" eaLnBrk="1" hangingPunct="1">
            <a:lnSpc>
              <a:spcPct val="70000"/>
            </a:lnSpc>
            <a:spcBef>
              <a:spcPct val="0"/>
            </a:spcBef>
          </a:pPr>
          <a:r>
            <a:rPr lang="en-US" sz="4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  <a:t>Mountain View Science and Tech Park </a:t>
          </a:r>
          <a:br>
            <a:rPr lang="en-US" sz="4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</a:br>
          <a:br>
            <a:rPr lang="en-US" sz="4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</a:br>
          <a:r>
            <a:rPr lang="en-US" sz="4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  <a:t>Financial Model</a:t>
          </a:r>
        </a:p>
        <a:p>
          <a:pPr marL="0" indent="0" algn="l" defTabSz="844083" rtl="0" eaLnBrk="1" hangingPunct="1">
            <a:lnSpc>
              <a:spcPct val="70000"/>
            </a:lnSpc>
            <a:spcBef>
              <a:spcPct val="0"/>
            </a:spcBef>
          </a:pPr>
          <a:endParaRPr lang="en-US" sz="4000" b="1" i="0" kern="1200">
            <a:solidFill>
              <a:schemeClr val="bg1"/>
            </a:solidFill>
            <a:latin typeface="Tw Cen MT Condensed" panose="020B0606020104020203" pitchFamily="34" charset="0"/>
            <a:ea typeface="+mj-ea"/>
            <a:cs typeface="+mj-cs"/>
          </a:endParaRPr>
        </a:p>
        <a:p>
          <a:pPr marL="0" indent="0" algn="l" defTabSz="844083" rtl="0" eaLnBrk="1" hangingPunct="1">
            <a:lnSpc>
              <a:spcPct val="70000"/>
            </a:lnSpc>
            <a:spcBef>
              <a:spcPct val="0"/>
            </a:spcBef>
          </a:pPr>
          <a:r>
            <a:rPr lang="en-US" sz="4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  <a:t>BPPPA</a:t>
          </a:r>
        </a:p>
        <a:p>
          <a:pPr marL="0" indent="0" algn="l" defTabSz="844083" rtl="0" eaLnBrk="1" hangingPunct="1">
            <a:lnSpc>
              <a:spcPct val="70000"/>
            </a:lnSpc>
            <a:spcBef>
              <a:spcPct val="0"/>
            </a:spcBef>
          </a:pPr>
          <a:endParaRPr lang="en-US" sz="4000" b="1" i="0" kern="1200">
            <a:solidFill>
              <a:schemeClr val="bg1"/>
            </a:solidFill>
            <a:latin typeface="Tw Cen MT Condensed" panose="020B0606020104020203" pitchFamily="34" charset="0"/>
            <a:ea typeface="+mj-ea"/>
            <a:cs typeface="+mj-cs"/>
          </a:endParaRPr>
        </a:p>
        <a:p>
          <a:pPr marL="0" indent="0" algn="l" defTabSz="844083" rtl="0" eaLnBrk="1" hangingPunct="1">
            <a:lnSpc>
              <a:spcPct val="70000"/>
            </a:lnSpc>
            <a:spcBef>
              <a:spcPct val="0"/>
            </a:spcBef>
          </a:pPr>
          <a:r>
            <a:rPr lang="en-US" sz="2000" b="1" i="0" kern="1200">
              <a:solidFill>
                <a:schemeClr val="bg1"/>
              </a:solidFill>
              <a:latin typeface="Tw Cen MT Condensed" panose="020B0606020104020203" pitchFamily="34" charset="0"/>
              <a:ea typeface="+mj-ea"/>
              <a:cs typeface="+mj-cs"/>
            </a:rPr>
            <a:t>July 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43"/>
  <sheetViews>
    <sheetView workbookViewId="0">
      <selection activeCell="J11" sqref="J11"/>
    </sheetView>
  </sheetViews>
  <sheetFormatPr defaultRowHeight="14.4"/>
  <cols>
    <col min="2" max="2" width="20.6640625" customWidth="1"/>
    <col min="3" max="12" width="7.6640625" customWidth="1"/>
    <col min="16" max="16" width="16.88671875" customWidth="1"/>
    <col min="17" max="26" width="7.6640625" customWidth="1"/>
  </cols>
  <sheetData>
    <row r="1" spans="2:26">
      <c r="B1" t="s">
        <v>103</v>
      </c>
      <c r="P1" t="s">
        <v>104</v>
      </c>
    </row>
    <row r="2" spans="2:26">
      <c r="B2" s="49"/>
      <c r="C2" s="49">
        <v>1</v>
      </c>
      <c r="D2" s="49">
        <v>2</v>
      </c>
      <c r="E2" s="49">
        <v>3</v>
      </c>
      <c r="F2" s="49">
        <v>4</v>
      </c>
      <c r="G2" s="49">
        <v>5</v>
      </c>
      <c r="H2" s="49">
        <v>6</v>
      </c>
      <c r="I2" s="49">
        <v>7</v>
      </c>
      <c r="J2" s="49">
        <v>8</v>
      </c>
      <c r="K2" s="49">
        <v>9</v>
      </c>
      <c r="L2" s="49">
        <v>10</v>
      </c>
      <c r="P2" s="49"/>
      <c r="Q2" s="49">
        <v>1</v>
      </c>
      <c r="R2" s="49">
        <v>2</v>
      </c>
      <c r="S2" s="49">
        <v>3</v>
      </c>
      <c r="T2" s="49">
        <v>4</v>
      </c>
      <c r="U2" s="49">
        <v>5</v>
      </c>
      <c r="V2" s="49">
        <v>6</v>
      </c>
      <c r="W2" s="49">
        <v>7</v>
      </c>
      <c r="X2" s="49">
        <v>8</v>
      </c>
      <c r="Y2" s="49">
        <v>9</v>
      </c>
      <c r="Z2" s="61">
        <v>10</v>
      </c>
    </row>
    <row r="3" spans="2:26">
      <c r="B3" s="49" t="s">
        <v>38</v>
      </c>
      <c r="C3" s="49">
        <v>2025</v>
      </c>
      <c r="D3" s="49">
        <v>2026</v>
      </c>
      <c r="E3" s="49">
        <v>2027</v>
      </c>
      <c r="F3" s="49">
        <v>2028</v>
      </c>
      <c r="G3" s="49">
        <v>2029</v>
      </c>
      <c r="H3" s="49">
        <v>2030</v>
      </c>
      <c r="I3" s="49">
        <v>2031</v>
      </c>
      <c r="J3" s="49">
        <v>2032</v>
      </c>
      <c r="K3" s="49">
        <v>2033</v>
      </c>
      <c r="L3" s="49">
        <v>2034</v>
      </c>
      <c r="P3" s="49" t="s">
        <v>38</v>
      </c>
      <c r="Q3" s="49">
        <v>2025</v>
      </c>
      <c r="R3" s="49">
        <v>2026</v>
      </c>
      <c r="S3" s="49">
        <v>2027</v>
      </c>
      <c r="T3" s="49">
        <v>2028</v>
      </c>
      <c r="U3" s="49">
        <v>2029</v>
      </c>
      <c r="V3" s="49">
        <v>2030</v>
      </c>
      <c r="W3" s="49">
        <v>2031</v>
      </c>
      <c r="X3" s="49">
        <v>2032</v>
      </c>
      <c r="Y3" s="49">
        <v>2033</v>
      </c>
      <c r="Z3" s="49">
        <v>2034</v>
      </c>
    </row>
    <row r="4" spans="2:26">
      <c r="B4" s="46"/>
      <c r="C4" s="46"/>
      <c r="D4" s="46"/>
      <c r="E4" s="46"/>
      <c r="F4" s="46"/>
      <c r="G4" s="46"/>
      <c r="H4" s="46"/>
      <c r="I4" s="46"/>
      <c r="J4" s="46"/>
      <c r="K4" s="46"/>
      <c r="L4" s="48"/>
      <c r="P4" s="46"/>
      <c r="Q4" s="46"/>
      <c r="R4" s="46"/>
      <c r="S4" s="46"/>
      <c r="T4" s="46"/>
      <c r="U4" s="46"/>
      <c r="V4" s="46"/>
      <c r="W4" s="46"/>
      <c r="X4" s="46"/>
      <c r="Y4" s="46"/>
      <c r="Z4" s="48"/>
    </row>
    <row r="5" spans="2:26">
      <c r="B5" s="46" t="s">
        <v>37</v>
      </c>
      <c r="C5" s="45">
        <v>1344.1410000000001</v>
      </c>
      <c r="D5" s="45">
        <v>1685.5522200000005</v>
      </c>
      <c r="E5" s="45">
        <v>1946.8728180000007</v>
      </c>
      <c r="F5" s="45">
        <v>2243.6020134000009</v>
      </c>
      <c r="G5" s="45">
        <v>2580.2083197000011</v>
      </c>
      <c r="H5" s="45">
        <v>2838.229151670002</v>
      </c>
      <c r="I5" s="45">
        <v>3122.0520668370018</v>
      </c>
      <c r="J5" s="45">
        <v>3434.2572735207023</v>
      </c>
      <c r="K5" s="45">
        <v>3777.6830008727734</v>
      </c>
      <c r="L5" s="45">
        <v>4155.4513009600514</v>
      </c>
      <c r="P5" s="62" t="s">
        <v>49</v>
      </c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2:26">
      <c r="B6" s="46"/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5">
        <v>0</v>
      </c>
      <c r="L6" s="45">
        <v>0</v>
      </c>
      <c r="N6">
        <v>1000000</v>
      </c>
      <c r="P6" s="46" t="s">
        <v>50</v>
      </c>
      <c r="Q6" s="45">
        <v>1002.1344979452057</v>
      </c>
      <c r="R6" s="45">
        <v>2484.5791332465765</v>
      </c>
      <c r="S6" s="45">
        <v>4223.4273118369874</v>
      </c>
      <c r="T6" s="45">
        <v>6232.9296996736184</v>
      </c>
      <c r="U6" s="45">
        <v>8549.8015671446574</v>
      </c>
      <c r="V6" s="45">
        <v>11118.391905731625</v>
      </c>
      <c r="W6" s="45">
        <v>13945.547537620529</v>
      </c>
      <c r="X6" s="45">
        <v>17057.261492897022</v>
      </c>
      <c r="Y6" s="45">
        <v>20482.137024715761</v>
      </c>
      <c r="Z6" s="45">
        <v>24251.649505212135</v>
      </c>
    </row>
    <row r="7" spans="2:26">
      <c r="B7" s="46" t="s">
        <v>98</v>
      </c>
      <c r="C7" s="45">
        <v>58.32</v>
      </c>
      <c r="D7" s="45">
        <v>62.985599999999998</v>
      </c>
      <c r="E7" s="45">
        <v>68.024448000000007</v>
      </c>
      <c r="F7" s="45">
        <v>73.466403839999998</v>
      </c>
      <c r="G7" s="45">
        <v>79.343716147200013</v>
      </c>
      <c r="H7" s="45">
        <v>85.691213438976021</v>
      </c>
      <c r="I7" s="45">
        <v>92.546510514094095</v>
      </c>
      <c r="J7" s="45">
        <v>99.950231355221646</v>
      </c>
      <c r="K7" s="45">
        <v>107.94624986363938</v>
      </c>
      <c r="L7" s="45">
        <v>116.58194985273056</v>
      </c>
      <c r="P7" s="46" t="s">
        <v>51</v>
      </c>
      <c r="Q7" s="45">
        <v>2.9159999999999999</v>
      </c>
      <c r="R7" s="45">
        <v>3.1492800000000001</v>
      </c>
      <c r="S7" s="45">
        <v>3.4012224000000004</v>
      </c>
      <c r="T7" s="45">
        <v>3.6733201920000003</v>
      </c>
      <c r="U7" s="45">
        <v>3.9671858073600008</v>
      </c>
      <c r="V7" s="45">
        <v>4.2845606719488005</v>
      </c>
      <c r="W7" s="45">
        <v>4.6273255257047055</v>
      </c>
      <c r="X7" s="45">
        <v>4.997511567761082</v>
      </c>
      <c r="Y7" s="45">
        <v>5.3973124931819703</v>
      </c>
      <c r="Z7" s="45">
        <v>5.829097492636528</v>
      </c>
    </row>
    <row r="8" spans="2:26">
      <c r="B8" s="46" t="s">
        <v>46</v>
      </c>
      <c r="C8" s="45">
        <v>139.866804</v>
      </c>
      <c r="D8" s="45">
        <v>125.8801236</v>
      </c>
      <c r="E8" s="45">
        <v>120.28545144</v>
      </c>
      <c r="F8" s="45">
        <v>114.55091247600001</v>
      </c>
      <c r="G8" s="45">
        <v>109.11009380040002</v>
      </c>
      <c r="H8" s="45">
        <v>103.92663004416002</v>
      </c>
      <c r="I8" s="45">
        <v>98.989471729764034</v>
      </c>
      <c r="J8" s="45">
        <v>94.286856058995639</v>
      </c>
      <c r="K8" s="45">
        <v>89.807644039584261</v>
      </c>
      <c r="L8" s="45">
        <v>85.54122243857563</v>
      </c>
      <c r="P8" s="46" t="s">
        <v>52</v>
      </c>
      <c r="Q8" s="45">
        <v>220.95468493150685</v>
      </c>
      <c r="R8" s="45">
        <v>277.07707726027405</v>
      </c>
      <c r="S8" s="45">
        <v>320.03388789041105</v>
      </c>
      <c r="T8" s="45">
        <v>368.81128987397278</v>
      </c>
      <c r="U8" s="45">
        <v>424.14383337534269</v>
      </c>
      <c r="V8" s="45">
        <v>466.55821671287703</v>
      </c>
      <c r="W8" s="45">
        <v>513.21403838416461</v>
      </c>
      <c r="X8" s="45">
        <v>564.5354422225812</v>
      </c>
      <c r="Y8" s="45">
        <v>620.98898644483938</v>
      </c>
      <c r="Z8" s="45">
        <v>683.08788508932344</v>
      </c>
    </row>
    <row r="9" spans="2:26">
      <c r="B9" s="46"/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P9" s="46" t="s">
        <v>53</v>
      </c>
      <c r="Q9" s="45">
        <v>1226.0051828767125</v>
      </c>
      <c r="R9" s="45">
        <v>2764.8054905068502</v>
      </c>
      <c r="S9" s="45">
        <v>4546.8624221273985</v>
      </c>
      <c r="T9" s="45">
        <v>6605.4143097395918</v>
      </c>
      <c r="U9" s="45">
        <v>8977.9125863273603</v>
      </c>
      <c r="V9" s="45">
        <v>11589.23468311645</v>
      </c>
      <c r="W9" s="45">
        <v>14463.388901530399</v>
      </c>
      <c r="X9" s="45">
        <v>17626.794446687363</v>
      </c>
      <c r="Y9" s="45">
        <v>21108.523323653782</v>
      </c>
      <c r="Z9" s="45">
        <v>24940.566487794098</v>
      </c>
    </row>
    <row r="10" spans="2:26">
      <c r="B10" s="46" t="s">
        <v>45</v>
      </c>
      <c r="C10" s="45">
        <v>1145.9541959999999</v>
      </c>
      <c r="D10" s="45">
        <v>1496.6864964000006</v>
      </c>
      <c r="E10" s="45">
        <v>1758.5629185600008</v>
      </c>
      <c r="F10" s="45">
        <v>2055.5846970840007</v>
      </c>
      <c r="G10" s="45">
        <v>2391.7545097524012</v>
      </c>
      <c r="H10" s="45">
        <v>2648.6113081868662</v>
      </c>
      <c r="I10" s="45">
        <v>2930.5160845931441</v>
      </c>
      <c r="J10" s="45">
        <v>3240.0201861064847</v>
      </c>
      <c r="K10" s="45">
        <v>3579.9291069695496</v>
      </c>
      <c r="L10" s="45">
        <v>3953.3281286687447</v>
      </c>
      <c r="P10" s="46"/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</row>
    <row r="11" spans="2:26">
      <c r="B11" s="46"/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P11" s="46" t="s">
        <v>54</v>
      </c>
      <c r="Q11" s="45">
        <v>5314.9385519999996</v>
      </c>
      <c r="R11" s="45">
        <v>5063.1783047999988</v>
      </c>
      <c r="S11" s="45">
        <v>4822.6074019200005</v>
      </c>
      <c r="T11" s="45">
        <v>4593.5055769680002</v>
      </c>
      <c r="U11" s="45">
        <v>4375.2853893672009</v>
      </c>
      <c r="V11" s="45">
        <v>4167.4321292788809</v>
      </c>
      <c r="W11" s="45">
        <v>3969.4531858193532</v>
      </c>
      <c r="X11" s="45">
        <v>3780.8794737013618</v>
      </c>
      <c r="Y11" s="45">
        <v>3601.2641856221935</v>
      </c>
      <c r="Z11" s="45">
        <v>3430.1817407450417</v>
      </c>
    </row>
    <row r="12" spans="2:26">
      <c r="B12" s="46" t="s">
        <v>99</v>
      </c>
      <c r="C12" s="45">
        <v>67.207049999999995</v>
      </c>
      <c r="D12" s="45">
        <v>84.277611000000036</v>
      </c>
      <c r="E12" s="45">
        <v>97.34364090000004</v>
      </c>
      <c r="F12" s="45">
        <v>112.18010067000006</v>
      </c>
      <c r="G12" s="45">
        <v>129.01041598500007</v>
      </c>
      <c r="H12" s="45">
        <v>141.91145758350012</v>
      </c>
      <c r="I12" s="45">
        <v>156.10260334185011</v>
      </c>
      <c r="J12" s="45">
        <v>171.71286367603514</v>
      </c>
      <c r="K12" s="45">
        <v>188.88415004363867</v>
      </c>
      <c r="L12" s="45">
        <v>207.77256504800258</v>
      </c>
      <c r="P12" s="50" t="s">
        <v>55</v>
      </c>
      <c r="Q12" s="51">
        <v>6540.9437348767124</v>
      </c>
      <c r="R12" s="51">
        <v>7827.9837953068491</v>
      </c>
      <c r="S12" s="51">
        <v>9369.4698240473972</v>
      </c>
      <c r="T12" s="51">
        <v>11198.919886707592</v>
      </c>
      <c r="U12" s="51">
        <v>13353.19797569456</v>
      </c>
      <c r="V12" s="51">
        <v>15756.666812395333</v>
      </c>
      <c r="W12" s="51">
        <v>18432.842087349753</v>
      </c>
      <c r="X12" s="51">
        <v>21407.673920388726</v>
      </c>
      <c r="Y12" s="51">
        <v>24709.787509275975</v>
      </c>
      <c r="Z12" s="51">
        <v>28370.748228539138</v>
      </c>
    </row>
    <row r="13" spans="2:26">
      <c r="B13" s="46" t="s">
        <v>46</v>
      </c>
      <c r="C13" s="45">
        <v>139.866804</v>
      </c>
      <c r="D13" s="45">
        <v>125.8801236</v>
      </c>
      <c r="E13" s="45">
        <v>120.28545144</v>
      </c>
      <c r="F13" s="45">
        <v>114.55091247600001</v>
      </c>
      <c r="G13" s="45">
        <v>109.11009380040002</v>
      </c>
      <c r="H13" s="45">
        <v>103.92663004416002</v>
      </c>
      <c r="I13" s="45">
        <v>98.989471729764034</v>
      </c>
      <c r="J13" s="45">
        <v>94.286856058995639</v>
      </c>
      <c r="K13" s="45">
        <v>89.807644039584261</v>
      </c>
      <c r="L13" s="45">
        <v>85.54122243857563</v>
      </c>
      <c r="P13" s="46"/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</row>
    <row r="14" spans="2:26">
      <c r="B14" s="46"/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P14" s="46"/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</row>
    <row r="15" spans="2:26">
      <c r="B15" s="46" t="s">
        <v>63</v>
      </c>
      <c r="C15" s="45">
        <v>938.88034200000004</v>
      </c>
      <c r="D15" s="45">
        <v>1286.5287618000007</v>
      </c>
      <c r="E15" s="45">
        <v>1540.9338262200006</v>
      </c>
      <c r="F15" s="45">
        <v>1828.8536839380006</v>
      </c>
      <c r="G15" s="45">
        <v>2153.6339999670008</v>
      </c>
      <c r="H15" s="45">
        <v>2402.7732205592065</v>
      </c>
      <c r="I15" s="45">
        <v>2675.4240095215296</v>
      </c>
      <c r="J15" s="45">
        <v>2974.0204663714544</v>
      </c>
      <c r="K15" s="45">
        <v>3301.2373128863269</v>
      </c>
      <c r="L15" s="45">
        <v>3660.0143411821659</v>
      </c>
      <c r="P15" s="62" t="s">
        <v>56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</row>
    <row r="16" spans="2:26">
      <c r="B16" s="46"/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P16" s="46"/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</row>
    <row r="17" spans="2:26">
      <c r="B17" s="46" t="s">
        <v>64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P17" s="46" t="s">
        <v>78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</row>
    <row r="18" spans="2:26">
      <c r="B18" s="46"/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P18" s="46"/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</row>
    <row r="19" spans="2:26">
      <c r="B19" s="50" t="s">
        <v>65</v>
      </c>
      <c r="C19" s="51">
        <v>938.88034200000004</v>
      </c>
      <c r="D19" s="51">
        <v>1286.5287618000007</v>
      </c>
      <c r="E19" s="51">
        <v>1540.9338262200006</v>
      </c>
      <c r="F19" s="51">
        <v>1828.8536839380006</v>
      </c>
      <c r="G19" s="51">
        <v>2153.6339999670008</v>
      </c>
      <c r="H19" s="51">
        <v>2402.7732205592065</v>
      </c>
      <c r="I19" s="51">
        <v>2675.4240095215296</v>
      </c>
      <c r="J19" s="51">
        <v>2974.0204663714544</v>
      </c>
      <c r="K19" s="51">
        <v>3301.2373128863269</v>
      </c>
      <c r="L19" s="51">
        <v>3660.0143411821659</v>
      </c>
      <c r="P19" s="46" t="s">
        <v>57</v>
      </c>
      <c r="Q19" s="45">
        <v>6.391232876712329</v>
      </c>
      <c r="R19" s="45">
        <v>6.9025315068493152</v>
      </c>
      <c r="S19" s="45">
        <v>7.4547340273972598</v>
      </c>
      <c r="T19" s="45">
        <v>8.0511127495890413</v>
      </c>
      <c r="U19" s="45">
        <v>8.6952017695561672</v>
      </c>
      <c r="V19" s="45">
        <v>9.3908179111206582</v>
      </c>
      <c r="W19" s="45">
        <v>10.142083344010311</v>
      </c>
      <c r="X19" s="45">
        <v>10.953450011531139</v>
      </c>
      <c r="Y19" s="45">
        <v>11.82972601245363</v>
      </c>
      <c r="Z19" s="45">
        <v>12.776104093449923</v>
      </c>
    </row>
    <row r="20" spans="2:26">
      <c r="B20" s="46" t="s">
        <v>93</v>
      </c>
      <c r="C20" s="47">
        <v>0.85255504891227929</v>
      </c>
      <c r="D20" s="47">
        <v>0.88795023888372926</v>
      </c>
      <c r="E20" s="47">
        <v>0.9032757056860814</v>
      </c>
      <c r="F20" s="47">
        <v>0.91619845445267944</v>
      </c>
      <c r="G20" s="47">
        <v>0.92696178501993542</v>
      </c>
      <c r="H20" s="47">
        <v>0.93319149605254204</v>
      </c>
      <c r="I20" s="47">
        <v>0.93865061243584391</v>
      </c>
      <c r="J20" s="47">
        <v>0.94344131148477084</v>
      </c>
      <c r="K20" s="47">
        <v>0.94765206772046895</v>
      </c>
      <c r="L20" s="47">
        <v>0.95135951364786564</v>
      </c>
      <c r="P20" s="46"/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</row>
    <row r="21" spans="2:26">
      <c r="B21" s="46" t="s">
        <v>94</v>
      </c>
      <c r="C21" s="47">
        <v>0.69849840306932087</v>
      </c>
      <c r="D21" s="47">
        <v>0.76326840932878381</v>
      </c>
      <c r="E21" s="47">
        <v>0.79149177695283834</v>
      </c>
      <c r="F21" s="47">
        <v>0.81514175554091162</v>
      </c>
      <c r="G21" s="47">
        <v>0.83467446543905499</v>
      </c>
      <c r="H21" s="47">
        <v>0.84657478031519229</v>
      </c>
      <c r="I21" s="47">
        <v>0.8569440714779758</v>
      </c>
      <c r="J21" s="47">
        <v>0.86598650872844285</v>
      </c>
      <c r="K21" s="47">
        <v>0.8738788596405862</v>
      </c>
      <c r="L21" s="47">
        <v>0.88077421105538589</v>
      </c>
      <c r="P21" s="50" t="s">
        <v>58</v>
      </c>
      <c r="Q21" s="51">
        <v>6.391232876712329</v>
      </c>
      <c r="R21" s="51">
        <v>6.9025315068493152</v>
      </c>
      <c r="S21" s="51">
        <v>7.4547340273972598</v>
      </c>
      <c r="T21" s="51">
        <v>8.0511127495890413</v>
      </c>
      <c r="U21" s="51">
        <v>8.6952017695561672</v>
      </c>
      <c r="V21" s="51">
        <v>9.3908179111206582</v>
      </c>
      <c r="W21" s="51">
        <v>10.142083344010311</v>
      </c>
      <c r="X21" s="51">
        <v>10.953450011531139</v>
      </c>
      <c r="Y21" s="51">
        <v>11.82972601245363</v>
      </c>
      <c r="Z21" s="51">
        <v>12.776104093449923</v>
      </c>
    </row>
    <row r="22" spans="2:26">
      <c r="B22" s="46" t="s">
        <v>95</v>
      </c>
      <c r="C22" s="47">
        <v>0.69849840306932087</v>
      </c>
      <c r="D22" s="47">
        <v>0.76326840932878381</v>
      </c>
      <c r="E22" s="47">
        <v>0.79149177695283834</v>
      </c>
      <c r="F22" s="47">
        <v>0.81514175554091162</v>
      </c>
      <c r="G22" s="47">
        <v>0.83467446543905499</v>
      </c>
      <c r="H22" s="47">
        <v>0.84657478031519229</v>
      </c>
      <c r="I22" s="47">
        <v>0.8569440714779758</v>
      </c>
      <c r="J22" s="47">
        <v>0.86598650872844285</v>
      </c>
      <c r="K22" s="47">
        <v>0.8738788596405862</v>
      </c>
      <c r="L22" s="47">
        <v>0.88077421105538589</v>
      </c>
      <c r="P22" s="46"/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</row>
    <row r="23" spans="2:26">
      <c r="P23" s="46" t="s">
        <v>59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</row>
    <row r="24" spans="2:26">
      <c r="F24" s="27"/>
      <c r="P24" s="46"/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</row>
    <row r="25" spans="2:26">
      <c r="B25" t="s">
        <v>37</v>
      </c>
      <c r="O25">
        <v>0</v>
      </c>
      <c r="P25" s="46" t="s">
        <v>60</v>
      </c>
      <c r="Q25" s="45">
        <v>5595.6721600000001</v>
      </c>
      <c r="R25" s="45">
        <v>5595.6721600000001</v>
      </c>
      <c r="S25" s="45">
        <v>5595.6721600000001</v>
      </c>
      <c r="T25" s="45">
        <v>5595.6721600000001</v>
      </c>
      <c r="U25" s="45">
        <v>5595.6721600000001</v>
      </c>
      <c r="V25" s="45">
        <v>5595.6721600000001</v>
      </c>
      <c r="W25" s="45">
        <v>5595.6721600000001</v>
      </c>
      <c r="X25" s="45">
        <v>5595.6721600000001</v>
      </c>
      <c r="Y25" s="45">
        <v>5595.6721600000001</v>
      </c>
      <c r="Z25" s="45">
        <v>5595.6721600000001</v>
      </c>
    </row>
    <row r="26" spans="2:26">
      <c r="B26" s="52"/>
      <c r="C26" s="52">
        <v>1</v>
      </c>
      <c r="D26" s="52">
        <v>2</v>
      </c>
      <c r="E26" s="52">
        <v>3</v>
      </c>
      <c r="F26" s="52">
        <v>4</v>
      </c>
      <c r="G26" s="52">
        <v>5</v>
      </c>
      <c r="H26" s="52">
        <v>6</v>
      </c>
      <c r="I26" s="52">
        <v>7</v>
      </c>
      <c r="J26" s="52">
        <v>8</v>
      </c>
      <c r="K26" s="52">
        <v>9</v>
      </c>
      <c r="L26" s="52">
        <v>10</v>
      </c>
      <c r="P26" s="46" t="s">
        <v>61</v>
      </c>
      <c r="Q26" s="45">
        <v>938.88034200000004</v>
      </c>
      <c r="R26" s="45">
        <v>2225.4091038000006</v>
      </c>
      <c r="S26" s="45">
        <v>3766.3429300200014</v>
      </c>
      <c r="T26" s="45">
        <v>5595.1966139580018</v>
      </c>
      <c r="U26" s="45">
        <v>7748.8306139250035</v>
      </c>
      <c r="V26" s="45">
        <v>10151.603834484209</v>
      </c>
      <c r="W26" s="45">
        <v>12827.027844005739</v>
      </c>
      <c r="X26" s="45">
        <v>15801.048310377193</v>
      </c>
      <c r="Y26" s="45">
        <v>19102.28562326352</v>
      </c>
      <c r="Z26" s="45">
        <v>22762.299964445687</v>
      </c>
    </row>
    <row r="27" spans="2:26" ht="15" thickBot="1">
      <c r="B27" s="52" t="s">
        <v>38</v>
      </c>
      <c r="C27" s="52">
        <v>2025</v>
      </c>
      <c r="D27" s="52">
        <v>2026</v>
      </c>
      <c r="E27" s="52">
        <v>2027</v>
      </c>
      <c r="F27" s="52">
        <v>2028</v>
      </c>
      <c r="G27" s="52">
        <v>2029</v>
      </c>
      <c r="H27" s="52">
        <v>2030</v>
      </c>
      <c r="I27" s="52">
        <v>2031</v>
      </c>
      <c r="J27" s="52">
        <v>2032</v>
      </c>
      <c r="K27" s="52">
        <v>2033</v>
      </c>
      <c r="L27" s="52">
        <v>2034</v>
      </c>
      <c r="P27" s="46"/>
      <c r="Q27" s="45">
        <v>6534.5525019999995</v>
      </c>
      <c r="R27" s="45">
        <v>7821.0812638000016</v>
      </c>
      <c r="S27" s="45">
        <v>9362.0150900200006</v>
      </c>
      <c r="T27" s="45">
        <v>11190.868773958002</v>
      </c>
      <c r="U27" s="45">
        <v>13344.502773925004</v>
      </c>
      <c r="V27" s="45">
        <v>15747.275994484209</v>
      </c>
      <c r="W27" s="45">
        <v>18422.700004005736</v>
      </c>
      <c r="X27" s="45">
        <v>21396.720470377193</v>
      </c>
      <c r="Y27" s="45">
        <v>24697.957783263519</v>
      </c>
      <c r="Z27" s="45">
        <v>28357.972124445685</v>
      </c>
    </row>
    <row r="28" spans="2:26" ht="15" thickBot="1">
      <c r="B28" s="53" t="s">
        <v>37</v>
      </c>
      <c r="C28" s="54" t="s">
        <v>101</v>
      </c>
      <c r="D28" s="54" t="s">
        <v>101</v>
      </c>
      <c r="E28" s="54" t="s">
        <v>101</v>
      </c>
      <c r="F28" s="54" t="s">
        <v>101</v>
      </c>
      <c r="G28" s="54" t="s">
        <v>101</v>
      </c>
      <c r="H28" s="54" t="s">
        <v>101</v>
      </c>
      <c r="I28" s="54" t="s">
        <v>101</v>
      </c>
      <c r="J28" s="54" t="s">
        <v>101</v>
      </c>
      <c r="K28" s="54" t="s">
        <v>101</v>
      </c>
      <c r="L28" s="54" t="s">
        <v>101</v>
      </c>
      <c r="P28" s="46"/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</row>
    <row r="29" spans="2:26" ht="15" thickBot="1">
      <c r="B29" s="55" t="s">
        <v>39</v>
      </c>
      <c r="C29" s="56">
        <v>1115</v>
      </c>
      <c r="D29" s="56">
        <v>1434</v>
      </c>
      <c r="E29" s="56">
        <v>1670</v>
      </c>
      <c r="F29" s="56">
        <v>1939</v>
      </c>
      <c r="G29" s="56">
        <v>2245</v>
      </c>
      <c r="H29" s="56">
        <v>2469</v>
      </c>
      <c r="I29" s="56">
        <v>2716</v>
      </c>
      <c r="J29" s="56">
        <v>2988</v>
      </c>
      <c r="K29" s="56">
        <v>3287</v>
      </c>
      <c r="L29" s="56">
        <v>3615</v>
      </c>
      <c r="P29" s="50" t="s">
        <v>105</v>
      </c>
      <c r="Q29" s="63">
        <v>6540.9437348767124</v>
      </c>
      <c r="R29" s="63">
        <v>7827.9837953068509</v>
      </c>
      <c r="S29" s="63">
        <v>9369.4698240473972</v>
      </c>
      <c r="T29" s="63">
        <v>11198.919886707592</v>
      </c>
      <c r="U29" s="63">
        <v>13353.197975694558</v>
      </c>
      <c r="V29" s="63">
        <v>15756.66681239533</v>
      </c>
      <c r="W29" s="63">
        <v>18432.842087349745</v>
      </c>
      <c r="X29" s="63">
        <v>21407.673920388726</v>
      </c>
      <c r="Y29" s="63">
        <v>24709.787509275975</v>
      </c>
      <c r="Z29" s="63">
        <v>28370.748228539134</v>
      </c>
    </row>
    <row r="30" spans="2:26" ht="15" thickBot="1">
      <c r="B30" s="55" t="s">
        <v>40</v>
      </c>
      <c r="C30" s="57">
        <v>38</v>
      </c>
      <c r="D30" s="57">
        <v>42</v>
      </c>
      <c r="E30" s="57">
        <v>46</v>
      </c>
      <c r="F30" s="57">
        <v>51</v>
      </c>
      <c r="G30" s="57">
        <v>56</v>
      </c>
      <c r="H30" s="57">
        <v>61</v>
      </c>
      <c r="I30" s="57">
        <v>68</v>
      </c>
      <c r="J30" s="57">
        <v>74</v>
      </c>
      <c r="K30" s="57">
        <v>82</v>
      </c>
      <c r="L30" s="57">
        <v>90</v>
      </c>
      <c r="P30" s="46"/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</row>
    <row r="31" spans="2:26" ht="15" thickBot="1">
      <c r="B31" s="55" t="s">
        <v>26</v>
      </c>
      <c r="C31" s="57">
        <v>11</v>
      </c>
      <c r="D31" s="57">
        <v>12</v>
      </c>
      <c r="E31" s="57">
        <v>13</v>
      </c>
      <c r="F31" s="57">
        <v>14</v>
      </c>
      <c r="G31" s="57">
        <v>16</v>
      </c>
      <c r="H31" s="57">
        <v>18</v>
      </c>
      <c r="I31" s="57">
        <v>19</v>
      </c>
      <c r="J31" s="57">
        <v>21</v>
      </c>
      <c r="K31" s="57">
        <v>23</v>
      </c>
      <c r="L31" s="57">
        <v>26</v>
      </c>
      <c r="P31" s="46"/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</row>
    <row r="32" spans="2:26" ht="15" thickBot="1">
      <c r="B32" s="58"/>
      <c r="C32" s="57" t="s">
        <v>101</v>
      </c>
      <c r="D32" s="57" t="s">
        <v>101</v>
      </c>
      <c r="E32" s="57" t="s">
        <v>101</v>
      </c>
      <c r="F32" s="57" t="s">
        <v>101</v>
      </c>
      <c r="G32" s="57" t="s">
        <v>101</v>
      </c>
      <c r="H32" s="57" t="s">
        <v>101</v>
      </c>
      <c r="I32" s="57" t="s">
        <v>101</v>
      </c>
      <c r="J32" s="57" t="s">
        <v>101</v>
      </c>
      <c r="K32" s="57" t="s">
        <v>101</v>
      </c>
      <c r="L32" s="57" t="s">
        <v>101</v>
      </c>
      <c r="P32" s="46"/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</row>
    <row r="33" spans="2:26" ht="15" thickBot="1">
      <c r="B33" s="55" t="s">
        <v>42</v>
      </c>
      <c r="C33" s="57">
        <v>180</v>
      </c>
      <c r="D33" s="57">
        <v>198</v>
      </c>
      <c r="E33" s="57">
        <v>218</v>
      </c>
      <c r="F33" s="57">
        <v>240</v>
      </c>
      <c r="G33" s="57">
        <v>264</v>
      </c>
      <c r="H33" s="57">
        <v>290</v>
      </c>
      <c r="I33" s="57">
        <v>319</v>
      </c>
      <c r="J33" s="57">
        <v>351</v>
      </c>
      <c r="K33" s="57">
        <v>386</v>
      </c>
      <c r="L33" s="57">
        <v>424</v>
      </c>
      <c r="P33" s="46"/>
      <c r="Q33" s="45">
        <v>217.47945205479451</v>
      </c>
      <c r="R33" s="45">
        <v>273.32382575342479</v>
      </c>
      <c r="S33" s="45">
        <v>315.9803762630138</v>
      </c>
      <c r="T33" s="45">
        <v>364.43349731638369</v>
      </c>
      <c r="U33" s="45">
        <v>419.4158174131465</v>
      </c>
      <c r="V33" s="45">
        <v>461.45195947370519</v>
      </c>
      <c r="W33" s="45">
        <v>507.699280565859</v>
      </c>
      <c r="X33" s="45">
        <v>558.57950377881104</v>
      </c>
      <c r="Y33" s="45">
        <v>614.55657292556759</v>
      </c>
      <c r="Z33" s="45">
        <v>676.14087848851</v>
      </c>
    </row>
    <row r="34" spans="2:26" ht="15" thickBot="1">
      <c r="B34" s="59" t="s">
        <v>44</v>
      </c>
      <c r="C34" s="60">
        <v>1344</v>
      </c>
      <c r="D34" s="60">
        <v>1686</v>
      </c>
      <c r="E34" s="60">
        <v>1947</v>
      </c>
      <c r="F34" s="60">
        <v>2244</v>
      </c>
      <c r="G34" s="60">
        <v>2580</v>
      </c>
      <c r="H34" s="60">
        <v>2838</v>
      </c>
      <c r="I34" s="60">
        <v>3122</v>
      </c>
      <c r="J34" s="60">
        <v>3434</v>
      </c>
      <c r="K34" s="60">
        <v>3778</v>
      </c>
      <c r="L34" s="60">
        <v>4155</v>
      </c>
      <c r="P34" s="46"/>
      <c r="Q34" s="45">
        <v>0</v>
      </c>
      <c r="R34" s="45">
        <v>55.844373698630243</v>
      </c>
      <c r="S34" s="45">
        <v>42.656550509589017</v>
      </c>
      <c r="T34" s="45">
        <v>48.453121053369941</v>
      </c>
      <c r="U34" s="45">
        <v>54.982320096762777</v>
      </c>
      <c r="V34" s="45">
        <v>42.036142060558674</v>
      </c>
      <c r="W34" s="45">
        <v>46.247321092153847</v>
      </c>
      <c r="X34" s="45">
        <v>50.880223212952075</v>
      </c>
      <c r="Y34" s="45">
        <v>55.977069146756527</v>
      </c>
      <c r="Z34" s="45">
        <v>61.584305562942383</v>
      </c>
    </row>
    <row r="35" spans="2:26" ht="15" thickBot="1"/>
    <row r="36" spans="2:26">
      <c r="B36" s="256" t="s">
        <v>16</v>
      </c>
      <c r="C36" s="257"/>
      <c r="D36" s="257"/>
      <c r="E36" s="257"/>
      <c r="F36" s="257"/>
      <c r="G36" s="257"/>
      <c r="H36" s="257"/>
      <c r="I36" s="257"/>
      <c r="J36" s="257"/>
      <c r="K36" s="257"/>
      <c r="L36" s="257"/>
    </row>
    <row r="37" spans="2:26">
      <c r="B37" s="66" t="s">
        <v>102</v>
      </c>
      <c r="C37" s="67">
        <v>1</v>
      </c>
      <c r="D37" s="67">
        <v>2</v>
      </c>
      <c r="E37" s="67">
        <v>3</v>
      </c>
      <c r="F37" s="67">
        <v>4</v>
      </c>
      <c r="G37" s="67">
        <v>5</v>
      </c>
      <c r="H37" s="67">
        <v>6</v>
      </c>
      <c r="I37" s="67">
        <v>7</v>
      </c>
      <c r="J37" s="67">
        <v>8</v>
      </c>
      <c r="K37" s="67">
        <v>9</v>
      </c>
      <c r="L37" s="67">
        <v>10</v>
      </c>
    </row>
    <row r="38" spans="2:26">
      <c r="B38" s="68" t="s">
        <v>111</v>
      </c>
      <c r="C38" s="67">
        <v>2025</v>
      </c>
      <c r="D38" s="67">
        <v>2026</v>
      </c>
      <c r="E38" s="67">
        <v>2027</v>
      </c>
      <c r="F38" s="67">
        <v>2028</v>
      </c>
      <c r="G38" s="67">
        <v>2029</v>
      </c>
      <c r="H38" s="67">
        <v>2030</v>
      </c>
      <c r="I38" s="67">
        <v>2031</v>
      </c>
      <c r="J38" s="67">
        <v>2032</v>
      </c>
      <c r="K38" s="67">
        <v>2033</v>
      </c>
      <c r="L38" s="67">
        <v>2034</v>
      </c>
    </row>
    <row r="39" spans="2:26">
      <c r="B39" s="64" t="s">
        <v>106</v>
      </c>
      <c r="C39" s="47" t="e">
        <f>PnL!B15/PnL!B10*100/100</f>
        <v>#DIV/0!</v>
      </c>
      <c r="D39" s="47" t="e">
        <f>PnL!C15/PnL!C10*100/100</f>
        <v>#DIV/0!</v>
      </c>
      <c r="E39" s="47" t="e">
        <f>PnL!D15/PnL!D10*100/100</f>
        <v>#DIV/0!</v>
      </c>
      <c r="F39" s="47" t="e">
        <f>PnL!E15/PnL!E10*100/100</f>
        <v>#DIV/0!</v>
      </c>
      <c r="G39" s="47" t="e">
        <f>PnL!F15/PnL!F10*100/100</f>
        <v>#DIV/0!</v>
      </c>
      <c r="H39" s="47" t="e">
        <f>PnL!G15/PnL!G10*100/100</f>
        <v>#DIV/0!</v>
      </c>
      <c r="I39" s="47" t="e">
        <f>PnL!H15/PnL!H10*100/100</f>
        <v>#DIV/0!</v>
      </c>
      <c r="J39" s="47" t="e">
        <f>PnL!I15/PnL!I10*100/100</f>
        <v>#DIV/0!</v>
      </c>
      <c r="K39" s="47" t="e">
        <f>PnL!J15/PnL!J10*100/100</f>
        <v>#DIV/0!</v>
      </c>
      <c r="L39" s="47" t="e">
        <f>PnL!K15/PnL!K10*100/100</f>
        <v>#DIV/0!</v>
      </c>
    </row>
    <row r="40" spans="2:26">
      <c r="B40" s="64" t="s">
        <v>107</v>
      </c>
      <c r="C40" s="47">
        <f t="shared" ref="C40:L40" si="0">C19/C5</f>
        <v>0.69849840306932087</v>
      </c>
      <c r="D40" s="47">
        <f t="shared" si="0"/>
        <v>0.76326840932878381</v>
      </c>
      <c r="E40" s="47">
        <f t="shared" si="0"/>
        <v>0.79149177695283846</v>
      </c>
      <c r="F40" s="47">
        <f t="shared" si="0"/>
        <v>0.81514175554091162</v>
      </c>
      <c r="G40" s="47">
        <f t="shared" si="0"/>
        <v>0.83467446543905499</v>
      </c>
      <c r="H40" s="47">
        <f t="shared" si="0"/>
        <v>0.84657478031519229</v>
      </c>
      <c r="I40" s="47">
        <f t="shared" si="0"/>
        <v>0.85694407147797569</v>
      </c>
      <c r="J40" s="47">
        <f t="shared" si="0"/>
        <v>0.86598650872844296</v>
      </c>
      <c r="K40" s="47">
        <f t="shared" si="0"/>
        <v>0.8738788596405862</v>
      </c>
      <c r="L40" s="47">
        <f t="shared" si="0"/>
        <v>0.88077421105538578</v>
      </c>
    </row>
    <row r="41" spans="2:26">
      <c r="B41" s="64" t="s">
        <v>108</v>
      </c>
      <c r="C41" s="47">
        <f>C15/((0+Q27)/2)</f>
        <v>0.28735872631297749</v>
      </c>
      <c r="D41" s="47">
        <f t="shared" ref="D41:L41" si="1">D15/((Q27+R27)/2)</f>
        <v>0.17923677669528593</v>
      </c>
      <c r="E41" s="47">
        <f t="shared" si="1"/>
        <v>0.1793546162449858</v>
      </c>
      <c r="F41" s="47">
        <f t="shared" si="1"/>
        <v>0.17796565153986393</v>
      </c>
      <c r="G41" s="47">
        <f t="shared" si="1"/>
        <v>0.17555340425670657</v>
      </c>
      <c r="H41" s="47">
        <f t="shared" si="1"/>
        <v>0.16518572065922488</v>
      </c>
      <c r="I41" s="47">
        <f t="shared" si="1"/>
        <v>0.15659501836581702</v>
      </c>
      <c r="J41" s="47">
        <f t="shared" si="1"/>
        <v>0.14937537668508932</v>
      </c>
      <c r="K41" s="47">
        <f t="shared" si="1"/>
        <v>0.14323724290777901</v>
      </c>
      <c r="L41" s="47">
        <f t="shared" si="1"/>
        <v>0.13796815351455574</v>
      </c>
    </row>
    <row r="42" spans="2:26">
      <c r="B42" s="64" t="s">
        <v>109</v>
      </c>
      <c r="C42" s="65">
        <f>C5/((0+Q12)/2)</f>
        <v>0.41099298648082172</v>
      </c>
      <c r="D42" s="65">
        <f>D5/((Q12+R12)/2)</f>
        <v>0.23461072045346557</v>
      </c>
      <c r="E42" s="65">
        <f t="shared" ref="E42:L42" si="2">E5/((R12+S12)/2)</f>
        <v>0.22641407979248324</v>
      </c>
      <c r="F42" s="65">
        <f t="shared" si="2"/>
        <v>0.21816020067208719</v>
      </c>
      <c r="G42" s="65">
        <f t="shared" si="2"/>
        <v>0.2101821385967847</v>
      </c>
      <c r="H42" s="65">
        <f t="shared" si="2"/>
        <v>0.19500119099359364</v>
      </c>
      <c r="I42" s="65">
        <f t="shared" si="2"/>
        <v>0.18263216801340362</v>
      </c>
      <c r="J42" s="65">
        <f t="shared" si="2"/>
        <v>0.17240024064214651</v>
      </c>
      <c r="K42" s="65">
        <f t="shared" si="2"/>
        <v>0.16382874875427586</v>
      </c>
      <c r="L42" s="65">
        <f t="shared" si="2"/>
        <v>0.15657156594972593</v>
      </c>
    </row>
    <row r="43" spans="2:26">
      <c r="B43" s="46" t="s">
        <v>110</v>
      </c>
      <c r="C43" s="69">
        <f>Q7+Q8-Q19</f>
        <v>217.47945205479451</v>
      </c>
      <c r="D43" s="69">
        <f t="shared" ref="D43:L43" si="3">R7+R8-R19</f>
        <v>273.32382575342473</v>
      </c>
      <c r="E43" s="69">
        <f t="shared" si="3"/>
        <v>315.9803762630138</v>
      </c>
      <c r="F43" s="69">
        <f t="shared" si="3"/>
        <v>364.43349731638375</v>
      </c>
      <c r="G43" s="69">
        <f t="shared" si="3"/>
        <v>419.41581741314656</v>
      </c>
      <c r="H43" s="69">
        <f t="shared" si="3"/>
        <v>461.45195947370513</v>
      </c>
      <c r="I43" s="69">
        <f t="shared" si="3"/>
        <v>507.699280565859</v>
      </c>
      <c r="J43" s="69">
        <f t="shared" si="3"/>
        <v>558.57950377881116</v>
      </c>
      <c r="K43" s="69">
        <f t="shared" si="3"/>
        <v>614.55657292556771</v>
      </c>
      <c r="L43" s="69">
        <f t="shared" si="3"/>
        <v>676.14087848851</v>
      </c>
    </row>
  </sheetData>
  <mergeCells count="1">
    <mergeCell ref="B36:L3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/>
  <dimension ref="A1:P48"/>
  <sheetViews>
    <sheetView showGridLines="0" zoomScale="71" zoomScaleNormal="75" zoomScaleSheetLayoutView="81" workbookViewId="0">
      <selection activeCell="A27" sqref="A27"/>
    </sheetView>
  </sheetViews>
  <sheetFormatPr defaultColWidth="9.109375" defaultRowHeight="13.8"/>
  <cols>
    <col min="1" max="1" width="35.5546875" style="2" customWidth="1"/>
    <col min="2" max="2" width="21.33203125" style="2" customWidth="1"/>
    <col min="3" max="3" width="20.44140625" style="2" customWidth="1"/>
    <col min="4" max="4" width="25.88671875" style="2" customWidth="1"/>
    <col min="5" max="11" width="17.6640625" style="2" bestFit="1" customWidth="1"/>
    <col min="12" max="13" width="10.6640625" style="2" customWidth="1"/>
    <col min="14" max="16" width="13.6640625" style="2" bestFit="1" customWidth="1"/>
    <col min="17" max="21" width="10.6640625" style="2" customWidth="1"/>
    <col min="22" max="22" width="21.88671875" style="2" customWidth="1"/>
    <col min="23" max="16384" width="9.109375" style="2"/>
  </cols>
  <sheetData>
    <row r="1" spans="1:16" ht="18" customHeight="1">
      <c r="A1" s="3" t="s">
        <v>366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ht="18" customHeight="1">
      <c r="A2" s="3" t="s">
        <v>365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6" ht="18" customHeight="1">
      <c r="A3" s="3" t="s">
        <v>47</v>
      </c>
      <c r="B3" s="1"/>
      <c r="C3" s="1"/>
      <c r="D3" s="1"/>
      <c r="E3" s="1"/>
      <c r="F3" s="1"/>
      <c r="G3" s="5"/>
      <c r="H3" s="5"/>
      <c r="I3" s="5"/>
      <c r="J3" s="6"/>
      <c r="K3" s="1"/>
    </row>
    <row r="4" spans="1:16" ht="7.5" customHeight="1">
      <c r="A4" s="4"/>
      <c r="B4" s="4"/>
      <c r="C4" s="4"/>
      <c r="D4" s="4"/>
      <c r="E4" s="4"/>
      <c r="F4" s="4"/>
      <c r="G4" s="4"/>
      <c r="H4" s="7"/>
      <c r="I4" s="7"/>
      <c r="J4" s="7"/>
      <c r="K4" s="1"/>
    </row>
    <row r="5" spans="1:16" ht="11.25" customHeight="1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8" t="s">
        <v>0</v>
      </c>
      <c r="L5" s="9"/>
      <c r="M5" s="9"/>
      <c r="N5" s="9"/>
      <c r="O5" s="9"/>
      <c r="P5" s="9"/>
    </row>
    <row r="6" spans="1:16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"/>
    </row>
    <row r="7" spans="1:16" ht="17.399999999999999" customHeight="1">
      <c r="A7"/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1">
        <v>7</v>
      </c>
      <c r="I7" s="31">
        <v>8</v>
      </c>
      <c r="J7" s="31">
        <v>9</v>
      </c>
      <c r="K7" s="31">
        <v>10</v>
      </c>
      <c r="L7" s="31">
        <v>11</v>
      </c>
      <c r="M7" s="31">
        <v>12</v>
      </c>
      <c r="N7" s="31">
        <v>13</v>
      </c>
      <c r="O7" s="31">
        <v>14</v>
      </c>
      <c r="P7" s="31">
        <v>15</v>
      </c>
    </row>
    <row r="8" spans="1:16" ht="18" customHeight="1">
      <c r="A8" t="s">
        <v>38</v>
      </c>
      <c r="B8" s="31">
        <v>2025</v>
      </c>
      <c r="C8" s="31">
        <v>2026</v>
      </c>
      <c r="D8" s="31">
        <v>2027</v>
      </c>
      <c r="E8" s="31">
        <v>2028</v>
      </c>
      <c r="F8" s="31">
        <v>2029</v>
      </c>
      <c r="G8" s="31">
        <v>2030</v>
      </c>
      <c r="H8" s="31">
        <v>2031</v>
      </c>
      <c r="I8" s="31">
        <v>2032</v>
      </c>
      <c r="J8" s="31">
        <v>2033</v>
      </c>
      <c r="K8" s="31">
        <v>2034</v>
      </c>
      <c r="L8" s="31">
        <v>2035</v>
      </c>
      <c r="M8" s="31">
        <v>2036</v>
      </c>
      <c r="N8" s="31">
        <v>2037</v>
      </c>
      <c r="O8" s="31">
        <v>2038</v>
      </c>
      <c r="P8" s="31">
        <v>2039</v>
      </c>
    </row>
    <row r="9" spans="1:16" ht="18" customHeight="1">
      <c r="A9"/>
      <c r="B9"/>
      <c r="C9"/>
      <c r="D9"/>
      <c r="E9"/>
      <c r="F9"/>
      <c r="G9"/>
      <c r="H9"/>
      <c r="I9"/>
      <c r="J9"/>
      <c r="K9" s="1"/>
    </row>
    <row r="10" spans="1:16" ht="18" customHeight="1">
      <c r="A10" t="s">
        <v>37</v>
      </c>
      <c r="B10" s="24">
        <f>Working!B20</f>
        <v>0</v>
      </c>
      <c r="C10" s="24">
        <f>Working!C20</f>
        <v>0</v>
      </c>
      <c r="D10" s="24">
        <f>Working!D20</f>
        <v>0</v>
      </c>
      <c r="E10" s="24">
        <f>Working!E20</f>
        <v>0</v>
      </c>
      <c r="F10" s="24">
        <f>Working!F20</f>
        <v>0</v>
      </c>
      <c r="G10" s="24">
        <f>Working!G20</f>
        <v>0</v>
      </c>
      <c r="H10" s="24">
        <f>Working!H20</f>
        <v>0</v>
      </c>
      <c r="I10" s="24">
        <f>Working!I20</f>
        <v>0</v>
      </c>
      <c r="J10" s="24">
        <f>Working!J20</f>
        <v>0</v>
      </c>
      <c r="K10" s="24">
        <f>Working!K20</f>
        <v>0</v>
      </c>
      <c r="L10" s="24">
        <f>Working!L20</f>
        <v>0</v>
      </c>
      <c r="M10" s="24">
        <f>Working!M20</f>
        <v>0</v>
      </c>
      <c r="N10" s="24">
        <f>Working!N20</f>
        <v>0</v>
      </c>
      <c r="O10" s="24">
        <f>Working!O20</f>
        <v>0</v>
      </c>
      <c r="P10" s="24">
        <f>Working!P20</f>
        <v>0</v>
      </c>
    </row>
    <row r="11" spans="1:16" ht="18" customHeight="1">
      <c r="A11"/>
      <c r="B11"/>
      <c r="C11"/>
      <c r="D11"/>
      <c r="E11"/>
      <c r="F11"/>
      <c r="G11"/>
      <c r="H11"/>
      <c r="I11"/>
      <c r="J11"/>
      <c r="K11" s="1"/>
      <c r="L11" s="1"/>
      <c r="M11" s="1"/>
      <c r="N11" s="1"/>
      <c r="O11" s="1"/>
      <c r="P11" s="1"/>
    </row>
    <row r="12" spans="1:16" ht="18" customHeight="1">
      <c r="A12" t="s">
        <v>98</v>
      </c>
      <c r="B12" s="24">
        <f>Working!B36</f>
        <v>0</v>
      </c>
      <c r="C12" s="24">
        <f>Working!C36</f>
        <v>0</v>
      </c>
      <c r="D12" s="24">
        <f>Working!D36</f>
        <v>0</v>
      </c>
      <c r="E12" s="24">
        <f>Working!E36</f>
        <v>0</v>
      </c>
      <c r="F12" s="24">
        <f>Working!F36</f>
        <v>0</v>
      </c>
      <c r="G12" s="24">
        <f>Working!G36</f>
        <v>0</v>
      </c>
      <c r="H12" s="24">
        <f>Working!H36</f>
        <v>0</v>
      </c>
      <c r="I12" s="24">
        <f>Working!I36</f>
        <v>0</v>
      </c>
      <c r="J12" s="24">
        <f>Working!J36</f>
        <v>0</v>
      </c>
      <c r="K12" s="24">
        <f>Working!K36</f>
        <v>0</v>
      </c>
      <c r="L12" s="24">
        <f>Working!L36</f>
        <v>0</v>
      </c>
      <c r="M12" s="24">
        <f>Working!M36</f>
        <v>0</v>
      </c>
      <c r="N12" s="24">
        <f>Working!N36</f>
        <v>0</v>
      </c>
      <c r="O12" s="24">
        <f>Working!O36</f>
        <v>0</v>
      </c>
      <c r="P12" s="24">
        <f>Working!P36</f>
        <v>0</v>
      </c>
    </row>
    <row r="13" spans="1:16" ht="18" customHeight="1">
      <c r="A13" t="s">
        <v>46</v>
      </c>
      <c r="B13" s="35">
        <f>FA!F20</f>
        <v>0</v>
      </c>
      <c r="C13" s="35">
        <f>FA!G20</f>
        <v>0</v>
      </c>
      <c r="D13" s="35">
        <f>FA!H20</f>
        <v>0</v>
      </c>
      <c r="E13" s="35">
        <f>FA!I20</f>
        <v>0</v>
      </c>
      <c r="F13" s="35">
        <f>FA!J20</f>
        <v>0</v>
      </c>
      <c r="G13" s="35">
        <f>FA!K20</f>
        <v>0</v>
      </c>
      <c r="H13" s="35">
        <f>FA!L20</f>
        <v>0</v>
      </c>
      <c r="I13" s="35">
        <f>FA!M20</f>
        <v>0</v>
      </c>
      <c r="J13" s="35">
        <f>FA!N20</f>
        <v>0</v>
      </c>
      <c r="K13" s="35">
        <f>FA!O20</f>
        <v>0</v>
      </c>
      <c r="L13" s="35">
        <f>FA!P20</f>
        <v>0</v>
      </c>
      <c r="M13" s="35">
        <f>FA!Q20</f>
        <v>0</v>
      </c>
      <c r="N13" s="35">
        <f>FA!R20</f>
        <v>0</v>
      </c>
      <c r="O13" s="35">
        <f>FA!S20</f>
        <v>0</v>
      </c>
      <c r="P13" s="35">
        <f>FA!T20</f>
        <v>0</v>
      </c>
    </row>
    <row r="14" spans="1:16" ht="18" customHeight="1">
      <c r="A14"/>
      <c r="B14" s="42"/>
      <c r="C14" s="42"/>
      <c r="D14" s="42"/>
      <c r="E14" s="42"/>
      <c r="F14" s="42"/>
      <c r="G14" s="42"/>
      <c r="H14" s="42"/>
      <c r="I14" s="42"/>
      <c r="J14" s="42"/>
      <c r="K14" s="194"/>
      <c r="L14" s="194"/>
      <c r="M14" s="194"/>
      <c r="N14" s="194"/>
      <c r="O14" s="194"/>
      <c r="P14" s="194"/>
    </row>
    <row r="15" spans="1:16" ht="18" customHeight="1">
      <c r="A15" t="s">
        <v>45</v>
      </c>
      <c r="B15" s="195">
        <f>B10-B12-B13</f>
        <v>0</v>
      </c>
      <c r="C15" s="195">
        <f t="shared" ref="C15:K15" si="0">C10-C12-C13</f>
        <v>0</v>
      </c>
      <c r="D15" s="195">
        <f t="shared" si="0"/>
        <v>0</v>
      </c>
      <c r="E15" s="195">
        <f t="shared" si="0"/>
        <v>0</v>
      </c>
      <c r="F15" s="195">
        <f t="shared" si="0"/>
        <v>0</v>
      </c>
      <c r="G15" s="195">
        <f t="shared" si="0"/>
        <v>0</v>
      </c>
      <c r="H15" s="195">
        <f t="shared" si="0"/>
        <v>0</v>
      </c>
      <c r="I15" s="195">
        <f t="shared" si="0"/>
        <v>0</v>
      </c>
      <c r="J15" s="195">
        <f t="shared" si="0"/>
        <v>0</v>
      </c>
      <c r="K15" s="195">
        <f t="shared" si="0"/>
        <v>0</v>
      </c>
      <c r="L15" s="195">
        <f t="shared" ref="L15:P15" si="1">L10-L12-L13</f>
        <v>0</v>
      </c>
      <c r="M15" s="195">
        <f t="shared" si="1"/>
        <v>0</v>
      </c>
      <c r="N15" s="195">
        <f t="shared" si="1"/>
        <v>0</v>
      </c>
      <c r="O15" s="195">
        <f t="shared" si="1"/>
        <v>0</v>
      </c>
      <c r="P15" s="195">
        <f t="shared" si="1"/>
        <v>0</v>
      </c>
    </row>
    <row r="16" spans="1:16" ht="18" customHeight="1">
      <c r="A16"/>
      <c r="B16" s="42"/>
      <c r="C16" s="42"/>
      <c r="D16" s="42"/>
      <c r="E16" s="42"/>
      <c r="F16" s="42"/>
      <c r="G16" s="42"/>
      <c r="H16" s="42"/>
      <c r="I16" s="42"/>
      <c r="J16" s="42"/>
      <c r="K16" s="194"/>
      <c r="L16" s="194"/>
      <c r="M16" s="194"/>
      <c r="N16" s="194"/>
      <c r="O16" s="194"/>
      <c r="P16" s="194"/>
    </row>
    <row r="17" spans="1:16" ht="18" customHeight="1">
      <c r="A17" t="s">
        <v>99</v>
      </c>
      <c r="B17" s="195">
        <f>B10*5%</f>
        <v>0</v>
      </c>
      <c r="C17" s="195">
        <f t="shared" ref="C17:K17" si="2">C10*5%</f>
        <v>0</v>
      </c>
      <c r="D17" s="195">
        <f t="shared" si="2"/>
        <v>0</v>
      </c>
      <c r="E17" s="195">
        <f t="shared" si="2"/>
        <v>0</v>
      </c>
      <c r="F17" s="195">
        <f t="shared" si="2"/>
        <v>0</v>
      </c>
      <c r="G17" s="195">
        <f t="shared" si="2"/>
        <v>0</v>
      </c>
      <c r="H17" s="195">
        <f t="shared" si="2"/>
        <v>0</v>
      </c>
      <c r="I17" s="195">
        <f t="shared" si="2"/>
        <v>0</v>
      </c>
      <c r="J17" s="195">
        <f t="shared" si="2"/>
        <v>0</v>
      </c>
      <c r="K17" s="195">
        <f t="shared" si="2"/>
        <v>0</v>
      </c>
      <c r="L17" s="195">
        <f t="shared" ref="L17:P17" si="3">L10*5%</f>
        <v>0</v>
      </c>
      <c r="M17" s="195">
        <f t="shared" si="3"/>
        <v>0</v>
      </c>
      <c r="N17" s="195">
        <f t="shared" si="3"/>
        <v>0</v>
      </c>
      <c r="O17" s="195">
        <f t="shared" si="3"/>
        <v>0</v>
      </c>
      <c r="P17" s="195">
        <f t="shared" si="3"/>
        <v>0</v>
      </c>
    </row>
    <row r="18" spans="1:16" ht="18" customHeight="1">
      <c r="A18" t="s">
        <v>46</v>
      </c>
      <c r="B18" s="35">
        <f>FA!F21</f>
        <v>0</v>
      </c>
      <c r="C18" s="35">
        <f>FA!G21</f>
        <v>0</v>
      </c>
      <c r="D18" s="35">
        <f>FA!H21</f>
        <v>0</v>
      </c>
      <c r="E18" s="35">
        <f>FA!I21</f>
        <v>0</v>
      </c>
      <c r="F18" s="35">
        <f>FA!J21</f>
        <v>0</v>
      </c>
      <c r="G18" s="35">
        <f>FA!K21</f>
        <v>0</v>
      </c>
      <c r="H18" s="35">
        <f>FA!L21</f>
        <v>0</v>
      </c>
      <c r="I18" s="35">
        <f>FA!M21</f>
        <v>0</v>
      </c>
      <c r="J18" s="35">
        <f>FA!N21</f>
        <v>0</v>
      </c>
      <c r="K18" s="35">
        <f>FA!O21</f>
        <v>0</v>
      </c>
      <c r="L18" s="35">
        <f>FA!P21</f>
        <v>0</v>
      </c>
      <c r="M18" s="35">
        <f>FA!Q21</f>
        <v>0</v>
      </c>
      <c r="N18" s="35">
        <f>FA!R21</f>
        <v>0</v>
      </c>
      <c r="O18" s="35">
        <f>FA!S21</f>
        <v>0</v>
      </c>
      <c r="P18" s="35">
        <f>FA!T21</f>
        <v>0</v>
      </c>
    </row>
    <row r="19" spans="1:16" ht="18" customHeight="1">
      <c r="A19"/>
      <c r="B19"/>
      <c r="C19"/>
      <c r="D19"/>
      <c r="E19"/>
      <c r="F19"/>
      <c r="G19"/>
      <c r="H19"/>
      <c r="I19"/>
      <c r="J19"/>
      <c r="K19" s="1"/>
      <c r="L19" s="1"/>
      <c r="M19" s="1"/>
      <c r="N19" s="1"/>
      <c r="O19" s="1"/>
      <c r="P19" s="1"/>
    </row>
    <row r="20" spans="1:16" ht="18" customHeight="1">
      <c r="A20" t="s">
        <v>63</v>
      </c>
      <c r="B20" s="25">
        <f>B15-B17-B18</f>
        <v>0</v>
      </c>
      <c r="C20" s="25">
        <f t="shared" ref="C20:K20" si="4">C15-C17-C18</f>
        <v>0</v>
      </c>
      <c r="D20" s="25">
        <f t="shared" si="4"/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0</v>
      </c>
      <c r="I20" s="25">
        <f t="shared" si="4"/>
        <v>0</v>
      </c>
      <c r="J20" s="25">
        <f t="shared" si="4"/>
        <v>0</v>
      </c>
      <c r="K20" s="25">
        <f t="shared" si="4"/>
        <v>0</v>
      </c>
      <c r="L20" s="25">
        <f t="shared" ref="L20:P20" si="5">L15-L17-L18</f>
        <v>0</v>
      </c>
      <c r="M20" s="25">
        <f t="shared" si="5"/>
        <v>0</v>
      </c>
      <c r="N20" s="25">
        <f t="shared" si="5"/>
        <v>0</v>
      </c>
      <c r="O20" s="25">
        <f t="shared" si="5"/>
        <v>0</v>
      </c>
      <c r="P20" s="25">
        <f t="shared" si="5"/>
        <v>0</v>
      </c>
    </row>
    <row r="21" spans="1:16" ht="18" customHeight="1">
      <c r="A21"/>
      <c r="B21"/>
      <c r="C21"/>
      <c r="D21"/>
      <c r="E21"/>
      <c r="F21"/>
      <c r="G21"/>
      <c r="H21"/>
      <c r="I21"/>
      <c r="J21"/>
      <c r="K21" s="1"/>
      <c r="L21" s="1"/>
      <c r="M21" s="1"/>
      <c r="N21" s="1"/>
      <c r="O21" s="1"/>
      <c r="P21" s="1"/>
    </row>
    <row r="22" spans="1:16" ht="18" customHeight="1">
      <c r="A22" t="s">
        <v>64</v>
      </c>
      <c r="B22" s="24">
        <f>IF('MC '!$C$108="Yes",0,PnL!B20*0.29)</f>
        <v>0</v>
      </c>
      <c r="C22" s="24">
        <f>IF('MC '!$C$108="Yes",0,PnL!C20*0.29)</f>
        <v>0</v>
      </c>
      <c r="D22" s="24">
        <f>IF('MC '!$C$108="Yes",0,PnL!D20*0.29)</f>
        <v>0</v>
      </c>
      <c r="E22" s="24">
        <f>IF('MC '!$C$108="Yes",0,PnL!E20*0.29)</f>
        <v>0</v>
      </c>
      <c r="F22" s="24">
        <f>IF('MC '!$C$108="Yes",0,PnL!F20*0.29)</f>
        <v>0</v>
      </c>
      <c r="G22" s="24">
        <f>IF('MC '!$C$108="Yes",0,PnL!G20*0.29)</f>
        <v>0</v>
      </c>
      <c r="H22" s="24">
        <f>IF('MC '!$C$108="Yes",0,PnL!H20*0.29)</f>
        <v>0</v>
      </c>
      <c r="I22" s="24">
        <f>IF('MC '!$C$108="Yes",0,PnL!I20*0.29)</f>
        <v>0</v>
      </c>
      <c r="J22" s="24">
        <f>IF('MC '!$C$108="Yes",0,PnL!J20*0.29)</f>
        <v>0</v>
      </c>
      <c r="K22" s="24">
        <f>IF('MC '!$C$108="Yes",0,PnL!K20*0.29)</f>
        <v>0</v>
      </c>
      <c r="L22" s="24">
        <f>IF('MC '!$C$108="Yes",0,PnL!L20*0.29)</f>
        <v>0</v>
      </c>
      <c r="M22" s="24">
        <f>IF('MC '!$C$108="Yes",0,PnL!M20*0.29)</f>
        <v>0</v>
      </c>
      <c r="N22" s="24">
        <f>IF('MC '!$C$108="Yes",0,PnL!N20*0.29)</f>
        <v>0</v>
      </c>
      <c r="O22" s="24">
        <f>IF('MC '!$C$108="Yes",0,PnL!O20*0.29)</f>
        <v>0</v>
      </c>
      <c r="P22" s="24">
        <f>IF('MC '!$C$108="Yes",0,PnL!P20*0.29)</f>
        <v>0</v>
      </c>
    </row>
    <row r="23" spans="1:16" ht="18" customHeight="1">
      <c r="A23"/>
      <c r="B23"/>
      <c r="C23"/>
      <c r="D23"/>
      <c r="E23"/>
      <c r="F23"/>
      <c r="G23"/>
      <c r="H23"/>
      <c r="I23"/>
      <c r="J23"/>
      <c r="K23" s="1"/>
      <c r="L23" s="1"/>
      <c r="M23" s="1"/>
      <c r="N23" s="1"/>
      <c r="O23" s="1"/>
      <c r="P23" s="1"/>
    </row>
    <row r="24" spans="1:16" ht="18" customHeight="1" thickBot="1">
      <c r="A24" t="s">
        <v>65</v>
      </c>
      <c r="B24" s="196">
        <f>B20-B22</f>
        <v>0</v>
      </c>
      <c r="C24" s="196">
        <f t="shared" ref="C24:K24" si="6">C20-C22</f>
        <v>0</v>
      </c>
      <c r="D24" s="196">
        <f t="shared" si="6"/>
        <v>0</v>
      </c>
      <c r="E24" s="196">
        <f t="shared" si="6"/>
        <v>0</v>
      </c>
      <c r="F24" s="196">
        <f t="shared" si="6"/>
        <v>0</v>
      </c>
      <c r="G24" s="196">
        <f t="shared" si="6"/>
        <v>0</v>
      </c>
      <c r="H24" s="196">
        <f t="shared" si="6"/>
        <v>0</v>
      </c>
      <c r="I24" s="196">
        <f t="shared" si="6"/>
        <v>0</v>
      </c>
      <c r="J24" s="196">
        <f t="shared" si="6"/>
        <v>0</v>
      </c>
      <c r="K24" s="196">
        <f t="shared" si="6"/>
        <v>0</v>
      </c>
      <c r="L24" s="196">
        <f t="shared" ref="L24:P24" si="7">L20-L22</f>
        <v>0</v>
      </c>
      <c r="M24" s="196">
        <f t="shared" si="7"/>
        <v>0</v>
      </c>
      <c r="N24" s="196">
        <f t="shared" si="7"/>
        <v>0</v>
      </c>
      <c r="O24" s="196">
        <f t="shared" si="7"/>
        <v>0</v>
      </c>
      <c r="P24" s="196">
        <f t="shared" si="7"/>
        <v>0</v>
      </c>
    </row>
    <row r="25" spans="1:16" ht="18" customHeight="1" thickTop="1">
      <c r="A25"/>
      <c r="B25"/>
      <c r="C25"/>
      <c r="D25"/>
      <c r="E25"/>
      <c r="F25"/>
      <c r="G25"/>
      <c r="H25"/>
      <c r="I25"/>
      <c r="J25"/>
      <c r="K25" s="1"/>
      <c r="L25" s="1"/>
      <c r="M25" s="1"/>
      <c r="N25" s="1"/>
      <c r="O25" s="1"/>
      <c r="P25" s="1"/>
    </row>
    <row r="26" spans="1:16" ht="18" customHeight="1">
      <c r="A26" t="s">
        <v>93</v>
      </c>
      <c r="B26" s="27">
        <f>IFERROR(B15/B$10,0)</f>
        <v>0</v>
      </c>
      <c r="C26" s="27">
        <f t="shared" ref="C26:P26" si="8">IFERROR(C15/C$10,0)</f>
        <v>0</v>
      </c>
      <c r="D26" s="27">
        <f t="shared" si="8"/>
        <v>0</v>
      </c>
      <c r="E26" s="27">
        <f t="shared" si="8"/>
        <v>0</v>
      </c>
      <c r="F26" s="27">
        <f t="shared" si="8"/>
        <v>0</v>
      </c>
      <c r="G26" s="27">
        <f t="shared" si="8"/>
        <v>0</v>
      </c>
      <c r="H26" s="27">
        <f t="shared" si="8"/>
        <v>0</v>
      </c>
      <c r="I26" s="27">
        <f t="shared" si="8"/>
        <v>0</v>
      </c>
      <c r="J26" s="27">
        <f t="shared" si="8"/>
        <v>0</v>
      </c>
      <c r="K26" s="27">
        <f t="shared" si="8"/>
        <v>0</v>
      </c>
      <c r="L26" s="27">
        <f t="shared" si="8"/>
        <v>0</v>
      </c>
      <c r="M26" s="27">
        <f t="shared" si="8"/>
        <v>0</v>
      </c>
      <c r="N26" s="27">
        <f t="shared" si="8"/>
        <v>0</v>
      </c>
      <c r="O26" s="27">
        <f t="shared" si="8"/>
        <v>0</v>
      </c>
      <c r="P26" s="27">
        <f t="shared" si="8"/>
        <v>0</v>
      </c>
    </row>
    <row r="27" spans="1:16" ht="18" customHeight="1">
      <c r="A27" t="s">
        <v>94</v>
      </c>
      <c r="B27" s="27">
        <f>IFERROR(B20/B$10,0)</f>
        <v>0</v>
      </c>
      <c r="C27" s="27">
        <f t="shared" ref="C27:P27" si="9">IFERROR(C20/C$10,0)</f>
        <v>0</v>
      </c>
      <c r="D27" s="27">
        <f t="shared" si="9"/>
        <v>0</v>
      </c>
      <c r="E27" s="27">
        <f t="shared" si="9"/>
        <v>0</v>
      </c>
      <c r="F27" s="27">
        <f t="shared" si="9"/>
        <v>0</v>
      </c>
      <c r="G27" s="27">
        <f t="shared" si="9"/>
        <v>0</v>
      </c>
      <c r="H27" s="27">
        <f t="shared" si="9"/>
        <v>0</v>
      </c>
      <c r="I27" s="27">
        <f t="shared" si="9"/>
        <v>0</v>
      </c>
      <c r="J27" s="27">
        <f t="shared" si="9"/>
        <v>0</v>
      </c>
      <c r="K27" s="27">
        <f t="shared" si="9"/>
        <v>0</v>
      </c>
      <c r="L27" s="27">
        <f t="shared" si="9"/>
        <v>0</v>
      </c>
      <c r="M27" s="27">
        <f t="shared" si="9"/>
        <v>0</v>
      </c>
      <c r="N27" s="27">
        <f t="shared" si="9"/>
        <v>0</v>
      </c>
      <c r="O27" s="27">
        <f t="shared" si="9"/>
        <v>0</v>
      </c>
      <c r="P27" s="27">
        <f t="shared" si="9"/>
        <v>0</v>
      </c>
    </row>
    <row r="28" spans="1:16" ht="18" customHeight="1">
      <c r="A28" t="s">
        <v>95</v>
      </c>
      <c r="B28" s="27">
        <f>IFERROR(B24/B$10,0)</f>
        <v>0</v>
      </c>
      <c r="C28" s="27">
        <f t="shared" ref="C28:P28" si="10">IFERROR(C24/C$10,0)</f>
        <v>0</v>
      </c>
      <c r="D28" s="27">
        <f t="shared" si="10"/>
        <v>0</v>
      </c>
      <c r="E28" s="27">
        <f t="shared" si="10"/>
        <v>0</v>
      </c>
      <c r="F28" s="27">
        <f t="shared" si="10"/>
        <v>0</v>
      </c>
      <c r="G28" s="27">
        <f t="shared" si="10"/>
        <v>0</v>
      </c>
      <c r="H28" s="27">
        <f t="shared" si="10"/>
        <v>0</v>
      </c>
      <c r="I28" s="27">
        <f t="shared" si="10"/>
        <v>0</v>
      </c>
      <c r="J28" s="27">
        <f t="shared" si="10"/>
        <v>0</v>
      </c>
      <c r="K28" s="27">
        <f t="shared" si="10"/>
        <v>0</v>
      </c>
      <c r="L28" s="27">
        <f t="shared" si="10"/>
        <v>0</v>
      </c>
      <c r="M28" s="27">
        <f t="shared" si="10"/>
        <v>0</v>
      </c>
      <c r="N28" s="27">
        <f t="shared" si="10"/>
        <v>0</v>
      </c>
      <c r="O28" s="27">
        <f t="shared" si="10"/>
        <v>0</v>
      </c>
      <c r="P28" s="27">
        <f t="shared" si="10"/>
        <v>0</v>
      </c>
    </row>
    <row r="29" spans="1:16" ht="18" customHeight="1">
      <c r="A29"/>
      <c r="B29"/>
      <c r="C29"/>
      <c r="D29"/>
      <c r="E29"/>
      <c r="F29"/>
      <c r="G29"/>
      <c r="H29"/>
      <c r="I29"/>
      <c r="J29"/>
      <c r="K29" s="1"/>
      <c r="M29" s="4"/>
      <c r="O29" s="21"/>
    </row>
    <row r="30" spans="1:16" ht="18" customHeight="1">
      <c r="A30"/>
      <c r="B30" s="24">
        <f>B10*0.02</f>
        <v>0</v>
      </c>
      <c r="C30" s="24">
        <f t="shared" ref="C30:P30" si="11">C10*0.02</f>
        <v>0</v>
      </c>
      <c r="D30" s="24">
        <f t="shared" si="11"/>
        <v>0</v>
      </c>
      <c r="E30" s="24">
        <f t="shared" si="11"/>
        <v>0</v>
      </c>
      <c r="F30" s="24">
        <f t="shared" si="11"/>
        <v>0</v>
      </c>
      <c r="G30" s="24">
        <f t="shared" si="11"/>
        <v>0</v>
      </c>
      <c r="H30" s="24">
        <f t="shared" si="11"/>
        <v>0</v>
      </c>
      <c r="I30" s="24">
        <f t="shared" si="11"/>
        <v>0</v>
      </c>
      <c r="J30" s="24">
        <f t="shared" si="11"/>
        <v>0</v>
      </c>
      <c r="K30" s="24">
        <f t="shared" si="11"/>
        <v>0</v>
      </c>
      <c r="L30" s="24">
        <f t="shared" si="11"/>
        <v>0</v>
      </c>
      <c r="M30" s="24">
        <f t="shared" si="11"/>
        <v>0</v>
      </c>
      <c r="N30" s="24">
        <f t="shared" si="11"/>
        <v>0</v>
      </c>
      <c r="O30" s="24">
        <f t="shared" si="11"/>
        <v>0</v>
      </c>
      <c r="P30" s="24">
        <f t="shared" si="11"/>
        <v>0</v>
      </c>
    </row>
    <row r="31" spans="1:16" ht="18" customHeight="1">
      <c r="A31"/>
      <c r="B31"/>
      <c r="C31"/>
      <c r="D31"/>
      <c r="E31"/>
      <c r="F31"/>
      <c r="G31"/>
      <c r="H31"/>
      <c r="I31"/>
      <c r="J31"/>
      <c r="K31" s="1"/>
      <c r="M31" s="4"/>
      <c r="O31" s="21"/>
    </row>
    <row r="32" spans="1:16" ht="18" customHeight="1">
      <c r="A32"/>
      <c r="B32"/>
      <c r="C32"/>
      <c r="D32"/>
      <c r="E32"/>
      <c r="F32"/>
      <c r="G32"/>
      <c r="H32"/>
      <c r="I32"/>
      <c r="J32"/>
      <c r="K32" s="1"/>
      <c r="M32" s="4"/>
      <c r="O32" s="21"/>
    </row>
    <row r="33" spans="1:15" ht="18" customHeight="1">
      <c r="A33"/>
      <c r="B33"/>
      <c r="C33"/>
      <c r="D33"/>
      <c r="E33"/>
      <c r="F33"/>
      <c r="G33"/>
      <c r="H33"/>
      <c r="I33"/>
      <c r="J33"/>
      <c r="K33" s="1"/>
      <c r="M33" s="4"/>
      <c r="O33" s="21"/>
    </row>
    <row r="34" spans="1:15" ht="18" customHeight="1">
      <c r="A34"/>
      <c r="B34"/>
      <c r="C34"/>
      <c r="D34"/>
      <c r="E34"/>
      <c r="F34"/>
      <c r="G34"/>
      <c r="H34"/>
      <c r="I34"/>
      <c r="J34"/>
      <c r="K34" s="1"/>
      <c r="M34" s="4"/>
      <c r="O34" s="21"/>
    </row>
    <row r="35" spans="1:15" ht="18" customHeight="1">
      <c r="A35"/>
      <c r="B35"/>
      <c r="C35"/>
      <c r="D35"/>
      <c r="E35"/>
      <c r="F35"/>
      <c r="G35"/>
      <c r="H35"/>
      <c r="I35"/>
      <c r="J35"/>
      <c r="K35" s="1"/>
    </row>
    <row r="36" spans="1:15" ht="18" customHeight="1">
      <c r="A36"/>
      <c r="B36"/>
      <c r="C36"/>
      <c r="D36"/>
      <c r="E36"/>
      <c r="F36"/>
      <c r="G36"/>
      <c r="H36"/>
      <c r="I36"/>
      <c r="J36"/>
      <c r="K36" s="1"/>
    </row>
    <row r="37" spans="1:15" ht="18" customHeight="1">
      <c r="A37"/>
      <c r="B37"/>
      <c r="C37"/>
      <c r="D37"/>
      <c r="E37"/>
      <c r="F37"/>
      <c r="G37"/>
      <c r="H37"/>
      <c r="I37"/>
      <c r="J37"/>
      <c r="K37" s="1"/>
    </row>
    <row r="38" spans="1:15" ht="18" customHeight="1">
      <c r="A38"/>
      <c r="B38"/>
      <c r="C38"/>
      <c r="D38"/>
      <c r="E38"/>
      <c r="F38"/>
      <c r="G38"/>
      <c r="H38"/>
      <c r="I38"/>
      <c r="J38"/>
      <c r="K38" s="1"/>
    </row>
    <row r="39" spans="1:15" ht="18" customHeight="1">
      <c r="A39"/>
      <c r="B39"/>
      <c r="C39"/>
      <c r="D39"/>
      <c r="E39"/>
      <c r="F39"/>
      <c r="G39"/>
      <c r="H39"/>
      <c r="I39"/>
      <c r="J39"/>
      <c r="K39" s="1"/>
    </row>
    <row r="40" spans="1:15" ht="18" customHeight="1">
      <c r="A40"/>
      <c r="B40"/>
      <c r="C40"/>
      <c r="D40"/>
      <c r="E40"/>
      <c r="F40"/>
      <c r="G40"/>
      <c r="H40"/>
      <c r="I40"/>
      <c r="J40"/>
      <c r="K40" s="1"/>
    </row>
    <row r="41" spans="1:15" ht="18" customHeight="1">
      <c r="A41"/>
      <c r="B41"/>
      <c r="C41"/>
      <c r="D41"/>
      <c r="E41"/>
      <c r="F41"/>
      <c r="G41"/>
      <c r="H41"/>
      <c r="I41"/>
      <c r="J41"/>
      <c r="K41" s="1"/>
    </row>
    <row r="42" spans="1:15" ht="18" customHeight="1">
      <c r="A42"/>
      <c r="B42"/>
      <c r="C42"/>
      <c r="D42"/>
      <c r="E42"/>
      <c r="F42"/>
      <c r="G42"/>
      <c r="H42"/>
      <c r="I42"/>
      <c r="J42"/>
      <c r="K42" s="1"/>
    </row>
    <row r="43" spans="1:15" ht="18" customHeight="1">
      <c r="A43"/>
      <c r="B43"/>
      <c r="C43"/>
      <c r="D43"/>
      <c r="E43"/>
      <c r="F43"/>
      <c r="G43"/>
      <c r="H43"/>
      <c r="I43"/>
      <c r="J43"/>
      <c r="K43" s="1"/>
    </row>
    <row r="44" spans="1:15" ht="18" customHeight="1">
      <c r="A44"/>
      <c r="B44"/>
      <c r="C44"/>
      <c r="D44"/>
      <c r="E44"/>
      <c r="F44"/>
      <c r="G44"/>
      <c r="H44"/>
      <c r="I44"/>
      <c r="J44"/>
      <c r="K44" s="1"/>
    </row>
    <row r="45" spans="1:15" ht="18" customHeight="1">
      <c r="A45" s="4"/>
      <c r="B45" s="4"/>
      <c r="C45" s="4"/>
      <c r="D45" s="4"/>
      <c r="K45" s="1"/>
    </row>
    <row r="46" spans="1:15" ht="18" customHeight="1">
      <c r="A46" s="4"/>
      <c r="B46" s="4"/>
      <c r="C46" s="4"/>
      <c r="D46" s="4"/>
      <c r="K46" s="1"/>
    </row>
    <row r="47" spans="1:15" ht="18" customHeight="1">
      <c r="D47" s="4"/>
      <c r="E47" s="18"/>
      <c r="F47" s="18"/>
      <c r="G47" s="18"/>
      <c r="H47" s="18"/>
      <c r="I47" s="18"/>
      <c r="J47" s="18"/>
      <c r="K47" s="1"/>
    </row>
    <row r="48" spans="1:15" ht="18" customHeight="1">
      <c r="D48" s="4"/>
      <c r="E48" s="4"/>
      <c r="F48" s="4"/>
      <c r="G48" s="4"/>
      <c r="H48" s="4"/>
      <c r="I48" s="4"/>
      <c r="J48" s="4"/>
      <c r="K48" s="1"/>
    </row>
  </sheetData>
  <printOptions horizontalCentered="1"/>
  <pageMargins left="0.2" right="0.2" top="0.5" bottom="0.2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"/>
  <dimension ref="A1:Q50"/>
  <sheetViews>
    <sheetView showGridLines="0" zoomScale="70" zoomScaleNormal="75" zoomScaleSheetLayoutView="81" workbookViewId="0">
      <selection activeCell="A32" sqref="A32"/>
    </sheetView>
  </sheetViews>
  <sheetFormatPr defaultColWidth="9.109375" defaultRowHeight="13.8"/>
  <cols>
    <col min="1" max="1" width="35.5546875" style="2" customWidth="1"/>
    <col min="2" max="2" width="21.33203125" style="2" customWidth="1"/>
    <col min="3" max="3" width="20.44140625" style="2" customWidth="1"/>
    <col min="4" max="4" width="25.88671875" style="2" customWidth="1"/>
    <col min="5" max="6" width="17.88671875" style="2" bestFit="1" customWidth="1"/>
    <col min="7" max="10" width="15.5546875" style="2" customWidth="1"/>
    <col min="11" max="11" width="18.6640625" style="2" bestFit="1" customWidth="1"/>
    <col min="12" max="21" width="10.6640625" style="2" customWidth="1"/>
    <col min="22" max="22" width="21.88671875" style="2" customWidth="1"/>
    <col min="23" max="16384" width="9.109375" style="2"/>
  </cols>
  <sheetData>
    <row r="1" spans="1:17" ht="18" customHeight="1">
      <c r="A1" s="3" t="s">
        <v>366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ht="18" customHeight="1">
      <c r="A2" s="3" t="s">
        <v>365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7" ht="18" customHeight="1">
      <c r="A3" s="3" t="s">
        <v>48</v>
      </c>
      <c r="B3" s="1"/>
      <c r="C3" s="1"/>
      <c r="D3" s="1"/>
      <c r="E3" s="1"/>
      <c r="F3" s="1"/>
      <c r="G3" s="5"/>
      <c r="H3" s="5"/>
      <c r="I3" s="5"/>
      <c r="J3" s="6"/>
      <c r="K3" s="1"/>
    </row>
    <row r="4" spans="1:17" ht="7.5" customHeight="1">
      <c r="A4" s="4"/>
      <c r="B4" s="4"/>
      <c r="C4" s="4"/>
      <c r="D4" s="4"/>
      <c r="E4" s="4"/>
      <c r="F4" s="4"/>
      <c r="G4" s="4"/>
      <c r="H4" s="7"/>
      <c r="I4" s="7"/>
      <c r="J4" s="7"/>
      <c r="K4" s="1"/>
    </row>
    <row r="5" spans="1:17" ht="11.25" customHeight="1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8" t="s">
        <v>0</v>
      </c>
      <c r="L5" s="9"/>
      <c r="M5" s="9"/>
      <c r="N5" s="9"/>
      <c r="O5" s="9"/>
      <c r="P5" s="9"/>
    </row>
    <row r="6" spans="1:17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"/>
    </row>
    <row r="7" spans="1:17" ht="17.399999999999999" customHeight="1">
      <c r="A7"/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1">
        <v>7</v>
      </c>
      <c r="I7" s="31">
        <v>8</v>
      </c>
      <c r="J7" s="31">
        <v>9</v>
      </c>
      <c r="K7" s="32">
        <v>10</v>
      </c>
      <c r="L7" s="32">
        <v>11</v>
      </c>
      <c r="M7" s="32">
        <v>12</v>
      </c>
      <c r="N7" s="32">
        <v>13</v>
      </c>
      <c r="O7" s="32">
        <v>14</v>
      </c>
      <c r="P7" s="32">
        <v>15</v>
      </c>
    </row>
    <row r="8" spans="1:17" ht="18" customHeight="1">
      <c r="A8" t="s">
        <v>38</v>
      </c>
      <c r="B8" s="31">
        <v>2025</v>
      </c>
      <c r="C8" s="31">
        <v>2026</v>
      </c>
      <c r="D8" s="31">
        <v>2027</v>
      </c>
      <c r="E8" s="31">
        <v>2028</v>
      </c>
      <c r="F8" s="31">
        <v>2029</v>
      </c>
      <c r="G8" s="31">
        <v>2030</v>
      </c>
      <c r="H8" s="31">
        <v>2031</v>
      </c>
      <c r="I8" s="31">
        <v>2032</v>
      </c>
      <c r="J8" s="31">
        <v>2033</v>
      </c>
      <c r="K8" s="31">
        <v>2034</v>
      </c>
      <c r="L8" s="31">
        <v>2035</v>
      </c>
      <c r="M8" s="31">
        <v>2036</v>
      </c>
      <c r="N8" s="31">
        <v>2037</v>
      </c>
      <c r="O8" s="31">
        <v>2038</v>
      </c>
      <c r="P8" s="31">
        <v>2039</v>
      </c>
    </row>
    <row r="9" spans="1:17" ht="18" customHeight="1">
      <c r="A9"/>
      <c r="B9"/>
      <c r="C9"/>
      <c r="D9"/>
      <c r="E9"/>
      <c r="F9"/>
      <c r="G9"/>
      <c r="H9"/>
      <c r="I9"/>
      <c r="J9"/>
      <c r="K9" s="1"/>
    </row>
    <row r="10" spans="1:17" ht="18" customHeight="1">
      <c r="A10" t="s">
        <v>49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7" ht="18" customHeight="1">
      <c r="A11" t="s">
        <v>50</v>
      </c>
      <c r="B11" s="24">
        <f>CF!B33</f>
        <v>0</v>
      </c>
      <c r="C11" s="24">
        <f>CF!C33</f>
        <v>0</v>
      </c>
      <c r="D11" s="24">
        <f>CF!D33</f>
        <v>0</v>
      </c>
      <c r="E11" s="24">
        <f>CF!E33</f>
        <v>0</v>
      </c>
      <c r="F11" s="24">
        <f>CF!F33</f>
        <v>0</v>
      </c>
      <c r="G11" s="24">
        <f>CF!G33</f>
        <v>0</v>
      </c>
      <c r="H11" s="24">
        <f>CF!H33</f>
        <v>0</v>
      </c>
      <c r="I11" s="24">
        <f>CF!I33</f>
        <v>0</v>
      </c>
      <c r="J11" s="24">
        <f>CF!J33</f>
        <v>0</v>
      </c>
      <c r="K11" s="24">
        <f>CF!K33</f>
        <v>0</v>
      </c>
      <c r="L11" s="24">
        <f>CF!L33</f>
        <v>0</v>
      </c>
      <c r="M11" s="24">
        <f>CF!M33</f>
        <v>0</v>
      </c>
      <c r="N11" s="24">
        <f>CF!N33</f>
        <v>0</v>
      </c>
      <c r="O11" s="24">
        <f>CF!O33</f>
        <v>0</v>
      </c>
      <c r="P11" s="24">
        <f>CF!P33</f>
        <v>0</v>
      </c>
      <c r="Q11" s="24"/>
    </row>
    <row r="12" spans="1:17" ht="18" customHeight="1">
      <c r="A12" t="s">
        <v>51</v>
      </c>
      <c r="B12" s="24">
        <f>5%*PnL!B12</f>
        <v>0</v>
      </c>
      <c r="C12" s="24">
        <f>5%*PnL!C12</f>
        <v>0</v>
      </c>
      <c r="D12" s="24">
        <f>5%*PnL!D12</f>
        <v>0</v>
      </c>
      <c r="E12" s="24">
        <f>5%*PnL!E12</f>
        <v>0</v>
      </c>
      <c r="F12" s="24">
        <f>5%*PnL!F12</f>
        <v>0</v>
      </c>
      <c r="G12" s="24">
        <f>5%*PnL!G12</f>
        <v>0</v>
      </c>
      <c r="H12" s="24">
        <f>5%*PnL!H12</f>
        <v>0</v>
      </c>
      <c r="I12" s="24">
        <f>5%*PnL!I12</f>
        <v>0</v>
      </c>
      <c r="J12" s="24">
        <f>5%*PnL!J12</f>
        <v>0</v>
      </c>
      <c r="K12" s="24">
        <f>5%*PnL!K12</f>
        <v>0</v>
      </c>
      <c r="L12" s="24">
        <f>5%*PnL!L12</f>
        <v>0</v>
      </c>
      <c r="M12" s="24">
        <f>5%*PnL!M12</f>
        <v>0</v>
      </c>
      <c r="N12" s="24">
        <f>5%*PnL!N12</f>
        <v>0</v>
      </c>
      <c r="O12" s="24">
        <f>5%*PnL!O12</f>
        <v>0</v>
      </c>
      <c r="P12" s="24">
        <f>5%*PnL!P12</f>
        <v>0</v>
      </c>
      <c r="Q12" s="24"/>
    </row>
    <row r="13" spans="1:17" ht="18" customHeight="1">
      <c r="A13" t="s">
        <v>52</v>
      </c>
      <c r="B13" s="24">
        <f>'MC '!$C$98/365*PnL!B10</f>
        <v>0</v>
      </c>
      <c r="C13" s="24">
        <f>'MC '!$C$98/365*PnL!C10</f>
        <v>0</v>
      </c>
      <c r="D13" s="24">
        <f>'MC '!$C$98/365*PnL!D10</f>
        <v>0</v>
      </c>
      <c r="E13" s="24">
        <f>'MC '!$C$98/365*PnL!E10</f>
        <v>0</v>
      </c>
      <c r="F13" s="24">
        <f>'MC '!$C$98/365*PnL!F10</f>
        <v>0</v>
      </c>
      <c r="G13" s="24">
        <f>'MC '!$C$98/365*PnL!G10</f>
        <v>0</v>
      </c>
      <c r="H13" s="24">
        <f>'MC '!$C$98/365*PnL!H10</f>
        <v>0</v>
      </c>
      <c r="I13" s="24">
        <f>'MC '!$C$98/365*PnL!I10</f>
        <v>0</v>
      </c>
      <c r="J13" s="24">
        <f>'MC '!$C$98/365*PnL!J10</f>
        <v>0</v>
      </c>
      <c r="K13" s="24">
        <f>'MC '!$C$98/365*PnL!K10</f>
        <v>0</v>
      </c>
      <c r="L13" s="24">
        <f>'MC '!$C$98/365*PnL!L10</f>
        <v>0</v>
      </c>
      <c r="M13" s="24">
        <f>'MC '!$C$98/365*PnL!M10</f>
        <v>0</v>
      </c>
      <c r="N13" s="24">
        <f>'MC '!$C$98/365*PnL!N10</f>
        <v>0</v>
      </c>
      <c r="O13" s="24">
        <f>'MC '!$C$98/365*PnL!O10</f>
        <v>0</v>
      </c>
      <c r="P13" s="24">
        <f>'MC '!$C$98/365*PnL!P10</f>
        <v>0</v>
      </c>
      <c r="Q13" s="24"/>
    </row>
    <row r="14" spans="1:17" ht="18" customHeight="1">
      <c r="A14" t="s">
        <v>53</v>
      </c>
      <c r="B14" s="25">
        <f>SUM(B11:B13)</f>
        <v>0</v>
      </c>
      <c r="C14" s="25">
        <f t="shared" ref="C14:K14" si="0">SUM(C11:C13)</f>
        <v>0</v>
      </c>
      <c r="D14" s="25">
        <f t="shared" si="0"/>
        <v>0</v>
      </c>
      <c r="E14" s="25">
        <f t="shared" si="0"/>
        <v>0</v>
      </c>
      <c r="F14" s="25">
        <f t="shared" si="0"/>
        <v>0</v>
      </c>
      <c r="G14" s="25">
        <f t="shared" si="0"/>
        <v>0</v>
      </c>
      <c r="H14" s="25">
        <f t="shared" si="0"/>
        <v>0</v>
      </c>
      <c r="I14" s="25">
        <f t="shared" si="0"/>
        <v>0</v>
      </c>
      <c r="J14" s="25">
        <f t="shared" si="0"/>
        <v>0</v>
      </c>
      <c r="K14" s="25">
        <f t="shared" si="0"/>
        <v>0</v>
      </c>
      <c r="L14" s="25">
        <f t="shared" ref="L14:P14" si="1">SUM(L11:L13)</f>
        <v>0</v>
      </c>
      <c r="M14" s="25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/>
    </row>
    <row r="15" spans="1:17" ht="18" customHeight="1">
      <c r="A1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17" ht="18" customHeight="1">
      <c r="A16" t="s">
        <v>54</v>
      </c>
      <c r="B16" s="24">
        <f>FA!F16</f>
        <v>0</v>
      </c>
      <c r="C16" s="24">
        <f>FA!G16</f>
        <v>0</v>
      </c>
      <c r="D16" s="24">
        <f>FA!H16</f>
        <v>0</v>
      </c>
      <c r="E16" s="24">
        <f>FA!I16</f>
        <v>0</v>
      </c>
      <c r="F16" s="24">
        <f>FA!J16</f>
        <v>0</v>
      </c>
      <c r="G16" s="24">
        <f>FA!K16</f>
        <v>0</v>
      </c>
      <c r="H16" s="24">
        <f>FA!L16</f>
        <v>0</v>
      </c>
      <c r="I16" s="24">
        <f>FA!M16</f>
        <v>0</v>
      </c>
      <c r="J16" s="24">
        <f>FA!N16</f>
        <v>0</v>
      </c>
      <c r="K16" s="24">
        <f>FA!O16</f>
        <v>0</v>
      </c>
      <c r="L16" s="24">
        <f>FA!P16</f>
        <v>0</v>
      </c>
      <c r="M16" s="24">
        <f>FA!Q16</f>
        <v>0</v>
      </c>
      <c r="N16" s="24">
        <f>FA!R16</f>
        <v>0</v>
      </c>
      <c r="O16" s="24">
        <f>FA!S16</f>
        <v>0</v>
      </c>
      <c r="P16" s="24">
        <f>FA!T16</f>
        <v>0</v>
      </c>
      <c r="Q16" s="24"/>
    </row>
    <row r="17" spans="1:17" ht="18" customHeight="1">
      <c r="A17" t="s">
        <v>55</v>
      </c>
      <c r="B17" s="25">
        <f>B14+B16</f>
        <v>0</v>
      </c>
      <c r="C17" s="25">
        <f t="shared" ref="C17:K17" si="2">C14+C16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ref="L17:P17" si="3">L14+L16</f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  <c r="P17" s="25">
        <f t="shared" si="3"/>
        <v>0</v>
      </c>
      <c r="Q17" s="25"/>
    </row>
    <row r="18" spans="1:17" ht="18" customHeight="1">
      <c r="A18"/>
      <c r="B18" s="24"/>
      <c r="C18"/>
      <c r="D18"/>
      <c r="E18"/>
      <c r="F18"/>
      <c r="G18"/>
      <c r="H18"/>
      <c r="I18"/>
      <c r="J18"/>
      <c r="K18" s="1"/>
      <c r="L18" s="1"/>
      <c r="M18" s="1"/>
      <c r="N18" s="1"/>
      <c r="O18" s="1"/>
      <c r="P18" s="1"/>
      <c r="Q18" s="1"/>
    </row>
    <row r="19" spans="1:17" ht="18" customHeight="1">
      <c r="A19"/>
      <c r="B19"/>
      <c r="C19"/>
      <c r="D19"/>
      <c r="E19"/>
      <c r="F19"/>
      <c r="G19"/>
      <c r="H19"/>
      <c r="I19"/>
      <c r="J19"/>
      <c r="K19" s="1"/>
      <c r="L19" s="1"/>
      <c r="M19" s="1"/>
      <c r="N19" s="1"/>
      <c r="O19" s="1"/>
      <c r="P19" s="1"/>
      <c r="Q19" s="1"/>
    </row>
    <row r="20" spans="1:17" ht="18" customHeight="1">
      <c r="A20" t="s">
        <v>56</v>
      </c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  <c r="Q20" s="1"/>
    </row>
    <row r="21" spans="1:17" ht="18" customHeight="1">
      <c r="A21"/>
      <c r="B21"/>
      <c r="C21"/>
      <c r="D21"/>
      <c r="E21"/>
      <c r="F21"/>
      <c r="G21"/>
      <c r="H21"/>
      <c r="I21"/>
      <c r="J21"/>
      <c r="K21" s="1"/>
      <c r="L21" s="1"/>
      <c r="M21" s="1"/>
      <c r="N21" s="1"/>
      <c r="O21" s="1"/>
      <c r="P21" s="1"/>
      <c r="Q21" s="1"/>
    </row>
    <row r="22" spans="1:17" ht="18" customHeight="1">
      <c r="A22" t="s">
        <v>78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/>
    </row>
    <row r="23" spans="1:17" ht="18" customHeight="1">
      <c r="A23"/>
      <c r="B23"/>
      <c r="C23"/>
      <c r="D23"/>
      <c r="E23"/>
      <c r="F23"/>
      <c r="G23"/>
      <c r="H23"/>
      <c r="I23"/>
      <c r="J23"/>
      <c r="K23" s="1"/>
      <c r="L23" s="1"/>
      <c r="M23" s="1"/>
      <c r="N23" s="1"/>
      <c r="O23" s="1"/>
      <c r="P23" s="1"/>
      <c r="Q23" s="1"/>
    </row>
    <row r="24" spans="1:17" ht="18" customHeight="1">
      <c r="A24" t="s">
        <v>57</v>
      </c>
      <c r="B24" s="24">
        <f>'MC '!$C$99/365*PnL!B12</f>
        <v>0</v>
      </c>
      <c r="C24" s="24">
        <f>'MC '!$C$99/365*PnL!C12</f>
        <v>0</v>
      </c>
      <c r="D24" s="24">
        <f>'MC '!$C$99/365*PnL!D12</f>
        <v>0</v>
      </c>
      <c r="E24" s="24">
        <f>'MC '!$C$99/365*PnL!E12</f>
        <v>0</v>
      </c>
      <c r="F24" s="24">
        <f>'MC '!$C$99/365*PnL!F12</f>
        <v>0</v>
      </c>
      <c r="G24" s="24">
        <f>'MC '!$C$99/365*PnL!G12</f>
        <v>0</v>
      </c>
      <c r="H24" s="24">
        <f>'MC '!$C$99/365*PnL!H12</f>
        <v>0</v>
      </c>
      <c r="I24" s="24">
        <f>'MC '!$C$99/365*PnL!I12</f>
        <v>0</v>
      </c>
      <c r="J24" s="24">
        <f>'MC '!$C$99/365*PnL!J12</f>
        <v>0</v>
      </c>
      <c r="K24" s="24">
        <f>'MC '!$C$99/365*PnL!K12</f>
        <v>0</v>
      </c>
      <c r="L24" s="24">
        <f>'MC '!$C$99/365*PnL!L12</f>
        <v>0</v>
      </c>
      <c r="M24" s="24">
        <f>'MC '!$C$99/365*PnL!M12</f>
        <v>0</v>
      </c>
      <c r="N24" s="24">
        <f>'MC '!$C$99/365*PnL!N12</f>
        <v>0</v>
      </c>
      <c r="O24" s="24">
        <f>'MC '!$C$99/365*PnL!O12</f>
        <v>0</v>
      </c>
      <c r="P24" s="24">
        <f>'MC '!$C$99/365*PnL!P12</f>
        <v>0</v>
      </c>
      <c r="Q24" s="24"/>
    </row>
    <row r="25" spans="1:17" ht="18" customHeight="1">
      <c r="A25"/>
      <c r="B25"/>
      <c r="C25"/>
      <c r="D25"/>
      <c r="E25"/>
      <c r="F25"/>
      <c r="G25"/>
      <c r="H25"/>
      <c r="I25"/>
      <c r="J25"/>
      <c r="K25" s="1"/>
      <c r="L25" s="1"/>
      <c r="M25" s="1"/>
      <c r="N25" s="1"/>
      <c r="O25" s="1"/>
      <c r="P25" s="1"/>
      <c r="Q25" s="1"/>
    </row>
    <row r="26" spans="1:17" ht="18" customHeight="1">
      <c r="A26" t="s">
        <v>58</v>
      </c>
      <c r="B26" s="25">
        <f>B24</f>
        <v>0</v>
      </c>
      <c r="C26" s="25">
        <f t="shared" ref="C26:K26" si="4">C24</f>
        <v>0</v>
      </c>
      <c r="D26" s="25">
        <f t="shared" si="4"/>
        <v>0</v>
      </c>
      <c r="E26" s="25">
        <f t="shared" si="4"/>
        <v>0</v>
      </c>
      <c r="F26" s="25">
        <f t="shared" si="4"/>
        <v>0</v>
      </c>
      <c r="G26" s="25">
        <f t="shared" si="4"/>
        <v>0</v>
      </c>
      <c r="H26" s="25">
        <f t="shared" si="4"/>
        <v>0</v>
      </c>
      <c r="I26" s="25">
        <f t="shared" si="4"/>
        <v>0</v>
      </c>
      <c r="J26" s="25">
        <f t="shared" si="4"/>
        <v>0</v>
      </c>
      <c r="K26" s="25">
        <f t="shared" si="4"/>
        <v>0</v>
      </c>
      <c r="L26" s="25">
        <f t="shared" ref="L26:P26" si="5">L24</f>
        <v>0</v>
      </c>
      <c r="M26" s="25">
        <f t="shared" si="5"/>
        <v>0</v>
      </c>
      <c r="N26" s="25">
        <f t="shared" si="5"/>
        <v>0</v>
      </c>
      <c r="O26" s="25">
        <f t="shared" si="5"/>
        <v>0</v>
      </c>
      <c r="P26" s="25">
        <f t="shared" si="5"/>
        <v>0</v>
      </c>
      <c r="Q26" s="25"/>
    </row>
    <row r="27" spans="1:17" ht="18" customHeight="1">
      <c r="A27"/>
      <c r="B27"/>
      <c r="C27"/>
      <c r="D27"/>
      <c r="E27"/>
      <c r="F27"/>
      <c r="G27"/>
      <c r="H27"/>
      <c r="I27"/>
      <c r="J27"/>
      <c r="K27" s="1"/>
      <c r="L27" s="1"/>
      <c r="M27" s="1"/>
      <c r="N27" s="1"/>
      <c r="O27" s="1"/>
      <c r="P27" s="1"/>
      <c r="Q27" s="1"/>
    </row>
    <row r="28" spans="1:17" ht="18" customHeight="1">
      <c r="A28" t="s">
        <v>59</v>
      </c>
      <c r="B28"/>
      <c r="C28"/>
      <c r="D28"/>
      <c r="E28"/>
      <c r="F28"/>
      <c r="G28"/>
      <c r="H28"/>
      <c r="I28"/>
      <c r="J28"/>
      <c r="K28" s="1"/>
      <c r="L28" s="1"/>
      <c r="M28" s="1"/>
      <c r="N28" s="1"/>
      <c r="O28" s="1"/>
      <c r="P28" s="1"/>
      <c r="Q28" s="1"/>
    </row>
    <row r="29" spans="1:17" ht="18" customHeight="1">
      <c r="A29"/>
      <c r="B29"/>
      <c r="C29"/>
      <c r="D29"/>
      <c r="E29"/>
      <c r="F29"/>
      <c r="G29"/>
      <c r="H29"/>
      <c r="I29"/>
      <c r="J29"/>
      <c r="K29" s="1"/>
      <c r="L29" s="1"/>
      <c r="M29" s="1"/>
      <c r="N29" s="1"/>
      <c r="O29" s="1"/>
      <c r="P29" s="1"/>
      <c r="Q29" s="1"/>
    </row>
    <row r="30" spans="1:17" ht="18" customHeight="1">
      <c r="A30" t="s">
        <v>60</v>
      </c>
      <c r="B30" s="24">
        <f>'MC '!B63+'MC '!B65</f>
        <v>0</v>
      </c>
      <c r="C30" s="25">
        <f>B30</f>
        <v>0</v>
      </c>
      <c r="D30" s="25">
        <f t="shared" ref="D30:K30" si="6">C30</f>
        <v>0</v>
      </c>
      <c r="E30" s="25">
        <f t="shared" si="6"/>
        <v>0</v>
      </c>
      <c r="F30" s="25">
        <f t="shared" si="6"/>
        <v>0</v>
      </c>
      <c r="G30" s="25">
        <f t="shared" si="6"/>
        <v>0</v>
      </c>
      <c r="H30" s="25">
        <f t="shared" si="6"/>
        <v>0</v>
      </c>
      <c r="I30" s="25">
        <f t="shared" si="6"/>
        <v>0</v>
      </c>
      <c r="J30" s="25">
        <f t="shared" si="6"/>
        <v>0</v>
      </c>
      <c r="K30" s="25">
        <f t="shared" si="6"/>
        <v>0</v>
      </c>
      <c r="L30" s="25">
        <f t="shared" ref="L30" si="7">K30</f>
        <v>0</v>
      </c>
      <c r="M30" s="25">
        <f t="shared" ref="M30" si="8">L30</f>
        <v>0</v>
      </c>
      <c r="N30" s="25">
        <f t="shared" ref="N30" si="9">M30</f>
        <v>0</v>
      </c>
      <c r="O30" s="25">
        <f t="shared" ref="O30" si="10">N30</f>
        <v>0</v>
      </c>
      <c r="P30" s="25">
        <f t="shared" ref="P30" si="11">O30</f>
        <v>0</v>
      </c>
      <c r="Q30" s="25"/>
    </row>
    <row r="31" spans="1:17" ht="18" customHeight="1">
      <c r="A31" t="s">
        <v>61</v>
      </c>
      <c r="B31" s="25">
        <f>PnL!B24</f>
        <v>0</v>
      </c>
      <c r="C31" s="34">
        <f>B31+PnL!C24</f>
        <v>0</v>
      </c>
      <c r="D31" s="34">
        <f>C31+PnL!D24</f>
        <v>0</v>
      </c>
      <c r="E31" s="34">
        <f>D31+PnL!E24</f>
        <v>0</v>
      </c>
      <c r="F31" s="34">
        <f>E31+PnL!F24</f>
        <v>0</v>
      </c>
      <c r="G31" s="34">
        <f>F31+PnL!G24</f>
        <v>0</v>
      </c>
      <c r="H31" s="34">
        <f>G31+PnL!H24</f>
        <v>0</v>
      </c>
      <c r="I31" s="34">
        <f>H31+PnL!I24</f>
        <v>0</v>
      </c>
      <c r="J31" s="34">
        <f>I31+PnL!J24</f>
        <v>0</v>
      </c>
      <c r="K31" s="34">
        <f>J31+PnL!K24</f>
        <v>0</v>
      </c>
      <c r="L31" s="34">
        <f>K31+PnL!L24</f>
        <v>0</v>
      </c>
      <c r="M31" s="34">
        <f>L31+PnL!M24</f>
        <v>0</v>
      </c>
      <c r="N31" s="34">
        <f>M31+PnL!N24</f>
        <v>0</v>
      </c>
      <c r="O31" s="34">
        <f>N31+PnL!O24</f>
        <v>0</v>
      </c>
      <c r="P31" s="34">
        <f>O31+PnL!P24</f>
        <v>0</v>
      </c>
      <c r="Q31" s="34"/>
    </row>
    <row r="32" spans="1:17" ht="18" customHeight="1">
      <c r="A32"/>
      <c r="B32" s="25">
        <f>SUM(B30:B31)</f>
        <v>0</v>
      </c>
      <c r="C32" s="25">
        <f t="shared" ref="C32:K32" si="12">SUM(C30:C31)</f>
        <v>0</v>
      </c>
      <c r="D32" s="25">
        <f t="shared" si="12"/>
        <v>0</v>
      </c>
      <c r="E32" s="25">
        <f t="shared" si="12"/>
        <v>0</v>
      </c>
      <c r="F32" s="25">
        <f t="shared" si="12"/>
        <v>0</v>
      </c>
      <c r="G32" s="25">
        <f t="shared" si="12"/>
        <v>0</v>
      </c>
      <c r="H32" s="25">
        <f t="shared" si="12"/>
        <v>0</v>
      </c>
      <c r="I32" s="25">
        <f t="shared" si="12"/>
        <v>0</v>
      </c>
      <c r="J32" s="25">
        <f t="shared" si="12"/>
        <v>0</v>
      </c>
      <c r="K32" s="25">
        <f t="shared" si="12"/>
        <v>0</v>
      </c>
      <c r="L32" s="25">
        <f t="shared" ref="L32:P32" si="13">SUM(L30:L31)</f>
        <v>0</v>
      </c>
      <c r="M32" s="25">
        <f t="shared" si="13"/>
        <v>0</v>
      </c>
      <c r="N32" s="25">
        <f t="shared" si="13"/>
        <v>0</v>
      </c>
      <c r="O32" s="25">
        <f t="shared" si="13"/>
        <v>0</v>
      </c>
      <c r="P32" s="25">
        <f t="shared" si="13"/>
        <v>0</v>
      </c>
      <c r="Q32" s="25"/>
    </row>
    <row r="33" spans="1:17" ht="18" customHeight="1">
      <c r="A33"/>
      <c r="B33"/>
      <c r="C33"/>
      <c r="D33"/>
      <c r="E33"/>
      <c r="F33"/>
      <c r="G33"/>
      <c r="H33"/>
      <c r="I33"/>
      <c r="J33"/>
      <c r="K33" s="1"/>
      <c r="L33" s="1"/>
      <c r="M33" s="1"/>
      <c r="N33" s="1"/>
      <c r="O33" s="1"/>
      <c r="P33" s="1"/>
      <c r="Q33" s="1"/>
    </row>
    <row r="34" spans="1:17" ht="18" customHeight="1">
      <c r="A34"/>
      <c r="B34" s="25">
        <f>B32+B26</f>
        <v>0</v>
      </c>
      <c r="C34" s="25">
        <f t="shared" ref="C34:K34" si="14">C32+C26</f>
        <v>0</v>
      </c>
      <c r="D34" s="25">
        <f t="shared" si="14"/>
        <v>0</v>
      </c>
      <c r="E34" s="25">
        <f t="shared" si="14"/>
        <v>0</v>
      </c>
      <c r="F34" s="25">
        <f t="shared" si="14"/>
        <v>0</v>
      </c>
      <c r="G34" s="25">
        <f t="shared" si="14"/>
        <v>0</v>
      </c>
      <c r="H34" s="25">
        <f t="shared" si="14"/>
        <v>0</v>
      </c>
      <c r="I34" s="25">
        <f t="shared" si="14"/>
        <v>0</v>
      </c>
      <c r="J34" s="25">
        <f t="shared" si="14"/>
        <v>0</v>
      </c>
      <c r="K34" s="25">
        <f t="shared" si="14"/>
        <v>0</v>
      </c>
      <c r="L34" s="25">
        <f t="shared" ref="L34:P34" si="15">L32+L26</f>
        <v>0</v>
      </c>
      <c r="M34" s="25">
        <f t="shared" si="15"/>
        <v>0</v>
      </c>
      <c r="N34" s="25">
        <f t="shared" si="15"/>
        <v>0</v>
      </c>
      <c r="O34" s="25">
        <f t="shared" si="15"/>
        <v>0</v>
      </c>
      <c r="P34" s="25">
        <f t="shared" si="15"/>
        <v>0</v>
      </c>
      <c r="Q34" s="25"/>
    </row>
    <row r="35" spans="1:17" ht="18" customHeight="1">
      <c r="A35"/>
      <c r="B35"/>
      <c r="C35"/>
      <c r="D35"/>
      <c r="E35"/>
      <c r="F35"/>
      <c r="G35"/>
      <c r="H35"/>
      <c r="I35"/>
      <c r="J35"/>
      <c r="K35" s="1"/>
      <c r="L35" s="1"/>
      <c r="M35" s="1"/>
      <c r="N35" s="1"/>
      <c r="O35" s="1"/>
      <c r="P35" s="1"/>
      <c r="Q35" s="1"/>
    </row>
    <row r="36" spans="1:17" ht="18" customHeight="1">
      <c r="A36"/>
      <c r="B36" s="25">
        <f>B34-B17</f>
        <v>0</v>
      </c>
      <c r="C36" s="25">
        <f t="shared" ref="C36:K36" si="16">C34-C17</f>
        <v>0</v>
      </c>
      <c r="D36" s="25">
        <f t="shared" si="16"/>
        <v>0</v>
      </c>
      <c r="E36" s="25">
        <f t="shared" si="16"/>
        <v>0</v>
      </c>
      <c r="F36" s="25">
        <f t="shared" si="16"/>
        <v>0</v>
      </c>
      <c r="G36" s="25">
        <f t="shared" si="16"/>
        <v>0</v>
      </c>
      <c r="H36" s="25">
        <f t="shared" si="16"/>
        <v>0</v>
      </c>
      <c r="I36" s="25">
        <f t="shared" si="16"/>
        <v>0</v>
      </c>
      <c r="J36" s="25">
        <f t="shared" si="16"/>
        <v>0</v>
      </c>
      <c r="K36" s="25">
        <f t="shared" si="16"/>
        <v>0</v>
      </c>
      <c r="L36" s="25">
        <f t="shared" ref="L36:P36" si="17">L34-L17</f>
        <v>0</v>
      </c>
      <c r="M36" s="25">
        <f t="shared" si="17"/>
        <v>0</v>
      </c>
      <c r="N36" s="25">
        <f t="shared" si="17"/>
        <v>0</v>
      </c>
      <c r="O36" s="25">
        <f t="shared" si="17"/>
        <v>0</v>
      </c>
      <c r="P36" s="25">
        <f t="shared" si="17"/>
        <v>0</v>
      </c>
      <c r="Q36" s="25"/>
    </row>
    <row r="37" spans="1:17" ht="18" customHeight="1">
      <c r="A37"/>
      <c r="B37"/>
      <c r="C37"/>
      <c r="D37"/>
      <c r="E37"/>
      <c r="F37"/>
      <c r="G37"/>
      <c r="H37"/>
      <c r="I37"/>
      <c r="J37"/>
      <c r="K37" s="1"/>
      <c r="L37" s="1"/>
      <c r="M37" s="1"/>
      <c r="N37" s="1"/>
      <c r="O37" s="1"/>
      <c r="P37" s="1"/>
      <c r="Q37" s="1"/>
    </row>
    <row r="38" spans="1:17" ht="18" customHeight="1">
      <c r="A38"/>
      <c r="B38" s="25">
        <f>B13+B12-B24</f>
        <v>0</v>
      </c>
      <c r="C38" s="25">
        <f t="shared" ref="C38:K38" si="18">C13+C12-C24</f>
        <v>0</v>
      </c>
      <c r="D38" s="25">
        <f t="shared" si="18"/>
        <v>0</v>
      </c>
      <c r="E38" s="25">
        <f t="shared" si="18"/>
        <v>0</v>
      </c>
      <c r="F38" s="25">
        <f t="shared" si="18"/>
        <v>0</v>
      </c>
      <c r="G38" s="25">
        <f t="shared" si="18"/>
        <v>0</v>
      </c>
      <c r="H38" s="25">
        <f t="shared" si="18"/>
        <v>0</v>
      </c>
      <c r="I38" s="25">
        <f t="shared" si="18"/>
        <v>0</v>
      </c>
      <c r="J38" s="25">
        <f t="shared" si="18"/>
        <v>0</v>
      </c>
      <c r="K38" s="25">
        <f t="shared" si="18"/>
        <v>0</v>
      </c>
      <c r="L38" s="25">
        <f t="shared" ref="L38:P38" si="19">L13+L12-L24</f>
        <v>0</v>
      </c>
      <c r="M38" s="25">
        <f t="shared" si="19"/>
        <v>0</v>
      </c>
      <c r="N38" s="25">
        <f t="shared" si="19"/>
        <v>0</v>
      </c>
      <c r="O38" s="25">
        <f t="shared" si="19"/>
        <v>0</v>
      </c>
      <c r="P38" s="25">
        <f t="shared" si="19"/>
        <v>0</v>
      </c>
      <c r="Q38" s="25"/>
    </row>
    <row r="39" spans="1:17" ht="18" customHeight="1">
      <c r="A39"/>
      <c r="B39" s="25">
        <f>B38-A38</f>
        <v>0</v>
      </c>
      <c r="C39" s="25">
        <f>C38-B38</f>
        <v>0</v>
      </c>
      <c r="D39" s="25">
        <f t="shared" ref="D39:K39" si="20">D38-C38</f>
        <v>0</v>
      </c>
      <c r="E39" s="25">
        <f t="shared" si="20"/>
        <v>0</v>
      </c>
      <c r="F39" s="25">
        <f t="shared" si="20"/>
        <v>0</v>
      </c>
      <c r="G39" s="25">
        <f t="shared" si="20"/>
        <v>0</v>
      </c>
      <c r="H39" s="25">
        <f t="shared" si="20"/>
        <v>0</v>
      </c>
      <c r="I39" s="25">
        <f t="shared" si="20"/>
        <v>0</v>
      </c>
      <c r="J39" s="25">
        <f t="shared" si="20"/>
        <v>0</v>
      </c>
      <c r="K39" s="25">
        <f t="shared" si="20"/>
        <v>0</v>
      </c>
      <c r="L39" s="25">
        <f t="shared" ref="L39" si="21">L38-K38</f>
        <v>0</v>
      </c>
      <c r="M39" s="25">
        <f t="shared" ref="M39" si="22">M38-L38</f>
        <v>0</v>
      </c>
      <c r="N39" s="25">
        <f t="shared" ref="N39" si="23">N38-M38</f>
        <v>0</v>
      </c>
      <c r="O39" s="25">
        <f t="shared" ref="O39" si="24">O38-N38</f>
        <v>0</v>
      </c>
      <c r="P39" s="25">
        <f t="shared" ref="P39" si="25">P38-O38</f>
        <v>0</v>
      </c>
      <c r="Q39" s="25"/>
    </row>
    <row r="40" spans="1:17" ht="18" customHeight="1">
      <c r="A40"/>
      <c r="B40"/>
      <c r="C40"/>
      <c r="D40"/>
      <c r="E40"/>
      <c r="F40"/>
      <c r="G40"/>
      <c r="H40"/>
      <c r="I40"/>
      <c r="J40"/>
      <c r="K40" s="1"/>
    </row>
    <row r="41" spans="1:17" ht="18" customHeight="1">
      <c r="A41"/>
      <c r="B41"/>
      <c r="C41"/>
      <c r="D41"/>
      <c r="E41"/>
      <c r="F41"/>
      <c r="G41"/>
      <c r="H41"/>
      <c r="I41"/>
      <c r="J41"/>
      <c r="K41" s="1"/>
    </row>
    <row r="42" spans="1:17" ht="18" customHeight="1">
      <c r="A42"/>
      <c r="B42"/>
      <c r="C42"/>
      <c r="D42"/>
      <c r="E42"/>
      <c r="F42"/>
      <c r="G42"/>
      <c r="H42"/>
      <c r="I42"/>
      <c r="J42"/>
      <c r="K42" s="1"/>
    </row>
    <row r="43" spans="1:17" ht="18" customHeight="1">
      <c r="A43"/>
      <c r="B43"/>
      <c r="C43"/>
      <c r="D43"/>
      <c r="E43"/>
      <c r="F43"/>
      <c r="G43"/>
      <c r="H43"/>
      <c r="I43"/>
      <c r="J43"/>
      <c r="K43" s="1"/>
    </row>
    <row r="44" spans="1:17" ht="18" customHeight="1">
      <c r="A44"/>
      <c r="B44"/>
      <c r="C44"/>
      <c r="D44"/>
      <c r="E44"/>
      <c r="F44"/>
      <c r="G44"/>
      <c r="H44"/>
      <c r="I44"/>
      <c r="J44"/>
      <c r="K44" s="1"/>
    </row>
    <row r="45" spans="1:17" ht="18" customHeight="1">
      <c r="A45"/>
      <c r="B45"/>
      <c r="C45"/>
      <c r="D45"/>
      <c r="E45"/>
      <c r="F45"/>
      <c r="G45"/>
      <c r="H45"/>
      <c r="I45"/>
      <c r="J45"/>
      <c r="K45" s="1"/>
    </row>
    <row r="46" spans="1:17" ht="18" customHeight="1">
      <c r="A46"/>
      <c r="B46"/>
      <c r="C46"/>
      <c r="D46"/>
      <c r="E46"/>
      <c r="F46"/>
      <c r="G46"/>
      <c r="H46"/>
      <c r="I46"/>
      <c r="J46"/>
      <c r="K46" s="1"/>
    </row>
    <row r="47" spans="1:17" ht="18" customHeight="1">
      <c r="A47" s="4"/>
      <c r="B47" s="4"/>
      <c r="C47" s="4"/>
      <c r="D47" s="4"/>
      <c r="K47" s="1"/>
    </row>
    <row r="48" spans="1:17" ht="18" customHeight="1">
      <c r="A48" s="4"/>
      <c r="B48" s="4"/>
      <c r="C48" s="4"/>
      <c r="D48" s="4"/>
      <c r="K48" s="1"/>
    </row>
    <row r="49" spans="4:11" ht="18" customHeight="1">
      <c r="D49" s="4"/>
      <c r="E49" s="18"/>
      <c r="F49" s="18"/>
      <c r="G49" s="18"/>
      <c r="H49" s="18"/>
      <c r="I49" s="18"/>
      <c r="J49" s="18"/>
      <c r="K49" s="1"/>
    </row>
    <row r="50" spans="4:11" ht="18" customHeight="1">
      <c r="D50" s="4"/>
      <c r="E50" s="4"/>
      <c r="F50" s="4"/>
      <c r="G50" s="4"/>
      <c r="H50" s="4"/>
      <c r="I50" s="4"/>
      <c r="J50" s="4"/>
      <c r="K50" s="1"/>
    </row>
  </sheetData>
  <printOptions horizontalCentered="1"/>
  <pageMargins left="0.2" right="0.2" top="0.5" bottom="0.25" header="0.3" footer="0.3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"/>
  <dimension ref="A1:P48"/>
  <sheetViews>
    <sheetView showGridLines="0" zoomScale="64" zoomScaleNormal="75" zoomScaleSheetLayoutView="81" workbookViewId="0">
      <selection activeCell="A36" sqref="A36"/>
    </sheetView>
  </sheetViews>
  <sheetFormatPr defaultColWidth="9.109375" defaultRowHeight="13.8"/>
  <cols>
    <col min="1" max="1" width="35.5546875" style="2" customWidth="1"/>
    <col min="2" max="2" width="21.33203125" style="2" customWidth="1"/>
    <col min="3" max="3" width="20.44140625" style="2" customWidth="1"/>
    <col min="4" max="4" width="25.88671875" style="2" customWidth="1"/>
    <col min="5" max="5" width="17.88671875" style="2" bestFit="1" customWidth="1"/>
    <col min="6" max="10" width="15.5546875" style="2" customWidth="1"/>
    <col min="11" max="11" width="18.6640625" style="2" bestFit="1" customWidth="1"/>
    <col min="12" max="21" width="10.6640625" style="2" customWidth="1"/>
    <col min="22" max="22" width="21.88671875" style="2" customWidth="1"/>
    <col min="23" max="16384" width="9.109375" style="2"/>
  </cols>
  <sheetData>
    <row r="1" spans="1:16" ht="18" customHeight="1">
      <c r="A1" s="3" t="s">
        <v>366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ht="18" customHeight="1">
      <c r="A2" s="3" t="s">
        <v>365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6" ht="18" customHeight="1">
      <c r="A3" s="3" t="s">
        <v>62</v>
      </c>
      <c r="B3" s="1"/>
      <c r="C3" s="1"/>
      <c r="D3" s="1"/>
      <c r="E3" s="1"/>
      <c r="F3" s="1"/>
      <c r="G3" s="5"/>
      <c r="H3" s="5"/>
      <c r="I3" s="5"/>
      <c r="J3" s="6"/>
      <c r="K3" s="1"/>
    </row>
    <row r="4" spans="1:16" ht="7.5" customHeight="1">
      <c r="A4" s="4"/>
      <c r="B4" s="4"/>
      <c r="C4" s="4"/>
      <c r="D4" s="4"/>
      <c r="E4" s="4"/>
      <c r="F4" s="4"/>
      <c r="G4" s="4"/>
      <c r="H4" s="7"/>
      <c r="I4" s="7"/>
      <c r="J4" s="7"/>
      <c r="K4" s="1"/>
    </row>
    <row r="5" spans="1:16" ht="11.25" customHeight="1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8" t="s">
        <v>0</v>
      </c>
      <c r="L5" s="9"/>
      <c r="M5" s="9"/>
      <c r="N5" s="9"/>
      <c r="O5" s="9"/>
      <c r="P5" s="9"/>
    </row>
    <row r="6" spans="1:16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"/>
    </row>
    <row r="7" spans="1:16" ht="17.399999999999999" customHeight="1">
      <c r="A7"/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1">
        <v>7</v>
      </c>
      <c r="I7" s="31">
        <v>8</v>
      </c>
      <c r="J7" s="31">
        <v>9</v>
      </c>
      <c r="K7" s="32">
        <v>10</v>
      </c>
      <c r="L7" s="32">
        <v>11</v>
      </c>
      <c r="M7" s="32">
        <v>12</v>
      </c>
      <c r="N7" s="32">
        <v>13</v>
      </c>
      <c r="O7" s="32">
        <v>14</v>
      </c>
      <c r="P7" s="32">
        <v>15</v>
      </c>
    </row>
    <row r="8" spans="1:16" ht="18" customHeight="1">
      <c r="A8" t="s">
        <v>38</v>
      </c>
      <c r="B8" s="31">
        <v>2025</v>
      </c>
      <c r="C8" s="31">
        <v>2026</v>
      </c>
      <c r="D8" s="31">
        <v>2027</v>
      </c>
      <c r="E8" s="31">
        <v>2028</v>
      </c>
      <c r="F8" s="31">
        <v>2029</v>
      </c>
      <c r="G8" s="31">
        <v>2030</v>
      </c>
      <c r="H8" s="31">
        <v>2031</v>
      </c>
      <c r="I8" s="31">
        <v>2032</v>
      </c>
      <c r="J8" s="31">
        <v>2033</v>
      </c>
      <c r="K8" s="31">
        <v>2034</v>
      </c>
      <c r="L8" s="31">
        <v>2035</v>
      </c>
      <c r="M8" s="31">
        <v>2036</v>
      </c>
      <c r="N8" s="31">
        <v>2037</v>
      </c>
      <c r="O8" s="31">
        <v>2038</v>
      </c>
      <c r="P8" s="31">
        <v>2039</v>
      </c>
    </row>
    <row r="9" spans="1:16" ht="18" customHeight="1">
      <c r="A9"/>
      <c r="B9"/>
      <c r="C9"/>
      <c r="D9"/>
      <c r="E9"/>
      <c r="F9"/>
      <c r="G9"/>
      <c r="H9"/>
      <c r="I9"/>
      <c r="J9"/>
      <c r="K9" s="1"/>
    </row>
    <row r="10" spans="1:16" ht="18" customHeight="1">
      <c r="A10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6" ht="18" customHeight="1">
      <c r="A11" s="33" t="s">
        <v>67</v>
      </c>
      <c r="B11" s="24">
        <f>PnL!B20</f>
        <v>0</v>
      </c>
      <c r="C11" s="24">
        <f>PnL!C20</f>
        <v>0</v>
      </c>
      <c r="D11" s="24">
        <f>PnL!D20</f>
        <v>0</v>
      </c>
      <c r="E11" s="24">
        <f>PnL!E20</f>
        <v>0</v>
      </c>
      <c r="F11" s="24">
        <f>PnL!F20</f>
        <v>0</v>
      </c>
      <c r="G11" s="24">
        <f>PnL!G20</f>
        <v>0</v>
      </c>
      <c r="H11" s="24">
        <f>PnL!H20</f>
        <v>0</v>
      </c>
      <c r="I11" s="24">
        <f>PnL!I20</f>
        <v>0</v>
      </c>
      <c r="J11" s="24">
        <f>PnL!J20</f>
        <v>0</v>
      </c>
      <c r="K11" s="24">
        <f>PnL!K20</f>
        <v>0</v>
      </c>
      <c r="L11" s="24">
        <f>PnL!L20</f>
        <v>0</v>
      </c>
      <c r="M11" s="24">
        <f>PnL!M20</f>
        <v>0</v>
      </c>
      <c r="N11" s="24">
        <f>PnL!N20</f>
        <v>0</v>
      </c>
      <c r="O11" s="24">
        <f>PnL!O20</f>
        <v>0</v>
      </c>
      <c r="P11" s="24">
        <f>PnL!P20</f>
        <v>0</v>
      </c>
    </row>
    <row r="12" spans="1:16" ht="18" customHeight="1">
      <c r="A12" s="33" t="s">
        <v>68</v>
      </c>
      <c r="B12" s="24">
        <f>PnL!B13+PnL!B18</f>
        <v>0</v>
      </c>
      <c r="C12" s="24">
        <f>PnL!C13+PnL!C18</f>
        <v>0</v>
      </c>
      <c r="D12" s="24">
        <f>PnL!D13+PnL!D18</f>
        <v>0</v>
      </c>
      <c r="E12" s="24">
        <f>PnL!E13+PnL!E18</f>
        <v>0</v>
      </c>
      <c r="F12" s="24">
        <f>PnL!F13+PnL!F18</f>
        <v>0</v>
      </c>
      <c r="G12" s="24">
        <f>PnL!G13+PnL!G18</f>
        <v>0</v>
      </c>
      <c r="H12" s="24">
        <f>PnL!H13+PnL!H18</f>
        <v>0</v>
      </c>
      <c r="I12" s="24">
        <f>PnL!I13+PnL!I18</f>
        <v>0</v>
      </c>
      <c r="J12" s="24">
        <f>PnL!J13+PnL!J18</f>
        <v>0</v>
      </c>
      <c r="K12" s="24">
        <f>PnL!K13+PnL!K18</f>
        <v>0</v>
      </c>
      <c r="L12" s="24">
        <f>PnL!L13+PnL!L18</f>
        <v>0</v>
      </c>
      <c r="M12" s="24">
        <f>PnL!M13+PnL!M18</f>
        <v>0</v>
      </c>
      <c r="N12" s="24">
        <f>PnL!N13+PnL!N18</f>
        <v>0</v>
      </c>
      <c r="O12" s="24">
        <f>PnL!O13+PnL!O18</f>
        <v>0</v>
      </c>
      <c r="P12" s="24">
        <f>PnL!P13+PnL!P18</f>
        <v>0</v>
      </c>
    </row>
    <row r="13" spans="1:16" ht="18" customHeight="1">
      <c r="A13" s="3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8" customHeight="1">
      <c r="A14" s="33" t="s">
        <v>69</v>
      </c>
      <c r="B14"/>
      <c r="C14"/>
      <c r="D14"/>
      <c r="E14"/>
      <c r="F14"/>
      <c r="G14"/>
      <c r="H14"/>
      <c r="I14"/>
      <c r="J14"/>
      <c r="K14" s="1"/>
      <c r="L14" s="1"/>
      <c r="M14" s="1"/>
      <c r="N14" s="1"/>
      <c r="O14" s="1"/>
      <c r="P14" s="1"/>
    </row>
    <row r="15" spans="1:16" ht="18" customHeight="1">
      <c r="A15" s="33" t="s">
        <v>51</v>
      </c>
      <c r="B15" s="25">
        <f>-BS!B12</f>
        <v>0</v>
      </c>
      <c r="C15" s="25">
        <f>BS!B12-BS!C12</f>
        <v>0</v>
      </c>
      <c r="D15" s="25">
        <f>BS!C12-BS!D12</f>
        <v>0</v>
      </c>
      <c r="E15" s="25">
        <f>BS!D12-BS!E12</f>
        <v>0</v>
      </c>
      <c r="F15" s="25">
        <f>BS!E12-BS!F12</f>
        <v>0</v>
      </c>
      <c r="G15" s="25">
        <f>BS!F12-BS!G12</f>
        <v>0</v>
      </c>
      <c r="H15" s="25">
        <f>BS!G12-BS!H12</f>
        <v>0</v>
      </c>
      <c r="I15" s="25">
        <f>BS!H12-BS!I12</f>
        <v>0</v>
      </c>
      <c r="J15" s="25">
        <f>BS!I12-BS!J12</f>
        <v>0</v>
      </c>
      <c r="K15" s="25">
        <f>BS!J12-BS!K12</f>
        <v>0</v>
      </c>
      <c r="L15" s="25">
        <f>BS!K12-BS!L12</f>
        <v>0</v>
      </c>
      <c r="M15" s="25">
        <f>BS!L12-BS!M12</f>
        <v>0</v>
      </c>
      <c r="N15" s="25">
        <f>BS!M12-BS!N12</f>
        <v>0</v>
      </c>
      <c r="O15" s="25">
        <f>BS!N12-BS!O12</f>
        <v>0</v>
      </c>
      <c r="P15" s="25">
        <f>BS!O12-BS!P12</f>
        <v>0</v>
      </c>
    </row>
    <row r="16" spans="1:16" ht="18" customHeight="1">
      <c r="A16" s="33" t="s">
        <v>52</v>
      </c>
      <c r="B16" s="24">
        <f>-BS!B13</f>
        <v>0</v>
      </c>
      <c r="C16" s="25">
        <f>BS!B13-BS!C13</f>
        <v>0</v>
      </c>
      <c r="D16" s="25">
        <f>BS!C13-BS!D13</f>
        <v>0</v>
      </c>
      <c r="E16" s="25">
        <f>BS!D13-BS!E13</f>
        <v>0</v>
      </c>
      <c r="F16" s="25">
        <f>BS!E13-BS!F13</f>
        <v>0</v>
      </c>
      <c r="G16" s="25">
        <f>BS!F13-BS!G13</f>
        <v>0</v>
      </c>
      <c r="H16" s="25">
        <f>BS!G13-BS!H13</f>
        <v>0</v>
      </c>
      <c r="I16" s="25">
        <f>BS!H13-BS!I13</f>
        <v>0</v>
      </c>
      <c r="J16" s="25">
        <f>BS!I13-BS!J13</f>
        <v>0</v>
      </c>
      <c r="K16" s="25">
        <f>BS!J13-BS!K13</f>
        <v>0</v>
      </c>
      <c r="L16" s="25">
        <f>BS!K13-BS!L13</f>
        <v>0</v>
      </c>
      <c r="M16" s="25">
        <f>BS!L13-BS!M13</f>
        <v>0</v>
      </c>
      <c r="N16" s="25">
        <f>BS!M13-BS!N13</f>
        <v>0</v>
      </c>
      <c r="O16" s="25">
        <f>BS!N13-BS!O13</f>
        <v>0</v>
      </c>
      <c r="P16" s="25">
        <f>BS!O13-BS!P13</f>
        <v>0</v>
      </c>
    </row>
    <row r="17" spans="1:16" ht="18" customHeight="1">
      <c r="A17" s="33" t="s">
        <v>57</v>
      </c>
      <c r="B17" s="24">
        <f>BS!B24</f>
        <v>0</v>
      </c>
      <c r="C17" s="25">
        <f>BS!C24-BS!B24</f>
        <v>0</v>
      </c>
      <c r="D17" s="25">
        <f>BS!D24-BS!C24</f>
        <v>0</v>
      </c>
      <c r="E17" s="25">
        <f>BS!E24-BS!D24</f>
        <v>0</v>
      </c>
      <c r="F17" s="25">
        <f>BS!F24-BS!E24</f>
        <v>0</v>
      </c>
      <c r="G17" s="25">
        <f>BS!G24-BS!F24</f>
        <v>0</v>
      </c>
      <c r="H17" s="25">
        <f>BS!H24-BS!G24</f>
        <v>0</v>
      </c>
      <c r="I17" s="25">
        <f>BS!I24-BS!H24</f>
        <v>0</v>
      </c>
      <c r="J17" s="25">
        <f>BS!J24-BS!I24</f>
        <v>0</v>
      </c>
      <c r="K17" s="25">
        <f>BS!K24-BS!J24</f>
        <v>0</v>
      </c>
      <c r="L17" s="25">
        <f>BS!L24-BS!K24</f>
        <v>0</v>
      </c>
      <c r="M17" s="25">
        <f>BS!M24-BS!L24</f>
        <v>0</v>
      </c>
      <c r="N17" s="25">
        <f>BS!N24-BS!M24</f>
        <v>0</v>
      </c>
      <c r="O17" s="25">
        <f>BS!O24-BS!N24</f>
        <v>0</v>
      </c>
      <c r="P17" s="25">
        <f>BS!P24-BS!O24</f>
        <v>0</v>
      </c>
    </row>
    <row r="18" spans="1:16" ht="18" customHeight="1">
      <c r="A18" s="33"/>
      <c r="B18" s="24"/>
      <c r="C18"/>
      <c r="D18"/>
      <c r="E18"/>
      <c r="F18"/>
      <c r="G18"/>
      <c r="H18"/>
      <c r="I18"/>
      <c r="J18"/>
      <c r="K18" s="1"/>
      <c r="L18" s="1"/>
      <c r="M18" s="1"/>
      <c r="N18" s="1"/>
      <c r="O18" s="1"/>
      <c r="P18" s="1"/>
    </row>
    <row r="19" spans="1:16" ht="18" customHeight="1">
      <c r="A19" s="33" t="s">
        <v>70</v>
      </c>
      <c r="B19" s="34">
        <f>-PnL!B22</f>
        <v>0</v>
      </c>
      <c r="C19" s="34">
        <f>-PnL!C22</f>
        <v>0</v>
      </c>
      <c r="D19" s="34">
        <f>-PnL!D22</f>
        <v>0</v>
      </c>
      <c r="E19" s="34">
        <f>-PnL!E22</f>
        <v>0</v>
      </c>
      <c r="F19" s="34">
        <f>-PnL!F22</f>
        <v>0</v>
      </c>
      <c r="G19" s="34">
        <f>-PnL!G22</f>
        <v>0</v>
      </c>
      <c r="H19" s="34">
        <f>-PnL!H22</f>
        <v>0</v>
      </c>
      <c r="I19" s="34">
        <f>-PnL!I22</f>
        <v>0</v>
      </c>
      <c r="J19" s="34">
        <f>-PnL!J22</f>
        <v>0</v>
      </c>
      <c r="K19" s="34">
        <f>-PnL!K22</f>
        <v>0</v>
      </c>
      <c r="L19" s="34">
        <f>-PnL!L22</f>
        <v>0</v>
      </c>
      <c r="M19" s="34">
        <f>-PnL!M22</f>
        <v>0</v>
      </c>
      <c r="N19" s="34">
        <f>-PnL!N22</f>
        <v>0</v>
      </c>
      <c r="O19" s="34">
        <f>-PnL!O22</f>
        <v>0</v>
      </c>
      <c r="P19" s="34">
        <f>-PnL!P22</f>
        <v>0</v>
      </c>
    </row>
    <row r="20" spans="1:16" ht="18" customHeight="1">
      <c r="A20" s="33"/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</row>
    <row r="21" spans="1:16" ht="18" customHeight="1">
      <c r="A21" s="33" t="s">
        <v>71</v>
      </c>
      <c r="B21" s="25">
        <f>B11+B12+B15+B16+B19+B17</f>
        <v>0</v>
      </c>
      <c r="C21" s="25">
        <f t="shared" ref="C21:K21" si="0">C11+C12+C15+C16+C19+C17</f>
        <v>0</v>
      </c>
      <c r="D21" s="25">
        <f t="shared" si="0"/>
        <v>0</v>
      </c>
      <c r="E21" s="25">
        <f t="shared" si="0"/>
        <v>0</v>
      </c>
      <c r="F21" s="25">
        <f t="shared" si="0"/>
        <v>0</v>
      </c>
      <c r="G21" s="25">
        <f t="shared" si="0"/>
        <v>0</v>
      </c>
      <c r="H21" s="25">
        <f t="shared" si="0"/>
        <v>0</v>
      </c>
      <c r="I21" s="25">
        <f t="shared" si="0"/>
        <v>0</v>
      </c>
      <c r="J21" s="25">
        <f t="shared" si="0"/>
        <v>0</v>
      </c>
      <c r="K21" s="25">
        <f t="shared" si="0"/>
        <v>0</v>
      </c>
      <c r="L21" s="25">
        <f t="shared" ref="L21:P21" si="1">L11+L12+L15+L16+L19+L17</f>
        <v>0</v>
      </c>
      <c r="M21" s="25">
        <f t="shared" si="1"/>
        <v>0</v>
      </c>
      <c r="N21" s="25">
        <f t="shared" si="1"/>
        <v>0</v>
      </c>
      <c r="O21" s="25">
        <f t="shared" si="1"/>
        <v>0</v>
      </c>
      <c r="P21" s="25">
        <f t="shared" si="1"/>
        <v>0</v>
      </c>
    </row>
    <row r="22" spans="1:16" ht="18" customHeight="1">
      <c r="A22" s="33"/>
      <c r="B22"/>
      <c r="C22"/>
      <c r="D22"/>
      <c r="E22"/>
      <c r="F22"/>
      <c r="G22"/>
      <c r="H22"/>
      <c r="I22"/>
      <c r="J22"/>
      <c r="K22" s="1"/>
      <c r="L22" s="1"/>
      <c r="M22" s="1"/>
      <c r="N22" s="1"/>
      <c r="O22" s="1"/>
      <c r="P22" s="1"/>
    </row>
    <row r="23" spans="1:16" ht="18" customHeight="1">
      <c r="A23" s="33" t="s">
        <v>72</v>
      </c>
      <c r="B23"/>
      <c r="C23"/>
      <c r="D23"/>
      <c r="E23"/>
      <c r="F23"/>
      <c r="G23"/>
      <c r="H23"/>
      <c r="I23"/>
      <c r="J23"/>
      <c r="K23" s="1"/>
      <c r="L23" s="1"/>
      <c r="M23" s="1"/>
      <c r="N23" s="1"/>
      <c r="O23" s="1"/>
      <c r="P23" s="1"/>
    </row>
    <row r="24" spans="1:16" ht="18" customHeight="1">
      <c r="A24" s="33" t="s">
        <v>54</v>
      </c>
      <c r="B24" s="24">
        <f>-'CAPEX - Summary'!C10</f>
        <v>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</row>
    <row r="25" spans="1:16" ht="18" customHeight="1">
      <c r="A25" s="33"/>
      <c r="B25"/>
      <c r="C25"/>
      <c r="D25"/>
      <c r="E25"/>
      <c r="F25"/>
      <c r="G25"/>
      <c r="H25"/>
      <c r="I25"/>
      <c r="J25"/>
      <c r="K25" s="1"/>
      <c r="L25" s="1"/>
      <c r="M25" s="1"/>
      <c r="N25" s="1"/>
      <c r="O25" s="1"/>
      <c r="P25" s="1"/>
    </row>
    <row r="26" spans="1:16" ht="18" customHeight="1">
      <c r="A26" s="33" t="s">
        <v>73</v>
      </c>
      <c r="B26"/>
      <c r="C26"/>
      <c r="D26"/>
      <c r="E26"/>
      <c r="F26"/>
      <c r="G26"/>
      <c r="H26"/>
      <c r="I26"/>
      <c r="J26"/>
      <c r="K26" s="1"/>
      <c r="L26" s="1"/>
      <c r="M26" s="1"/>
      <c r="N26" s="1"/>
      <c r="O26" s="1"/>
      <c r="P26" s="1"/>
    </row>
    <row r="27" spans="1:16" ht="18" customHeight="1">
      <c r="A27" s="33" t="s">
        <v>60</v>
      </c>
      <c r="B27" s="24">
        <f>BS!B30</f>
        <v>0</v>
      </c>
      <c r="C27" s="24">
        <f>BS!C30-BS!B30</f>
        <v>0</v>
      </c>
      <c r="D27" s="24">
        <f>BS!D30-BS!C30</f>
        <v>0</v>
      </c>
      <c r="E27" s="24">
        <f>BS!E30-BS!D30</f>
        <v>0</v>
      </c>
      <c r="F27" s="24">
        <f>BS!F30-BS!E30</f>
        <v>0</v>
      </c>
      <c r="G27" s="24">
        <f>BS!G30-BS!F30</f>
        <v>0</v>
      </c>
      <c r="H27" s="24">
        <f>BS!H30-BS!G30</f>
        <v>0</v>
      </c>
      <c r="I27" s="24">
        <f>BS!I30-BS!H30</f>
        <v>0</v>
      </c>
      <c r="J27" s="24">
        <f>BS!J30-BS!I30</f>
        <v>0</v>
      </c>
      <c r="K27" s="24">
        <f>BS!K30-BS!J30</f>
        <v>0</v>
      </c>
      <c r="L27" s="24">
        <f>BS!L30-BS!K30</f>
        <v>0</v>
      </c>
      <c r="M27" s="24">
        <f>BS!M30-BS!L30</f>
        <v>0</v>
      </c>
      <c r="N27" s="24">
        <f>BS!N30-BS!M30</f>
        <v>0</v>
      </c>
      <c r="O27" s="24">
        <f>BS!O30-BS!N30</f>
        <v>0</v>
      </c>
      <c r="P27" s="24">
        <f>BS!P30-BS!O30</f>
        <v>0</v>
      </c>
    </row>
    <row r="28" spans="1:16" ht="18" customHeight="1">
      <c r="A28" s="33" t="s">
        <v>74</v>
      </c>
      <c r="B28" s="23"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</row>
    <row r="29" spans="1:16" ht="18" customHeight="1">
      <c r="A29" s="33"/>
      <c r="B29" s="25">
        <f>B27+B28</f>
        <v>0</v>
      </c>
      <c r="C29" s="34">
        <f t="shared" ref="C29:K29" si="2">C27+C28</f>
        <v>0</v>
      </c>
      <c r="D29" s="34">
        <f t="shared" si="2"/>
        <v>0</v>
      </c>
      <c r="E29" s="34">
        <f t="shared" si="2"/>
        <v>0</v>
      </c>
      <c r="F29" s="34">
        <f t="shared" si="2"/>
        <v>0</v>
      </c>
      <c r="G29" s="34">
        <f t="shared" si="2"/>
        <v>0</v>
      </c>
      <c r="H29" s="34">
        <f t="shared" si="2"/>
        <v>0</v>
      </c>
      <c r="I29" s="34">
        <f t="shared" si="2"/>
        <v>0</v>
      </c>
      <c r="J29" s="34">
        <f t="shared" si="2"/>
        <v>0</v>
      </c>
      <c r="K29" s="34">
        <f t="shared" si="2"/>
        <v>0</v>
      </c>
      <c r="L29" s="34">
        <f t="shared" ref="L29:P29" si="3">L27+L28</f>
        <v>0</v>
      </c>
      <c r="M29" s="34">
        <f t="shared" si="3"/>
        <v>0</v>
      </c>
      <c r="N29" s="34">
        <f t="shared" si="3"/>
        <v>0</v>
      </c>
      <c r="O29" s="34">
        <f t="shared" si="3"/>
        <v>0</v>
      </c>
      <c r="P29" s="34">
        <f t="shared" si="3"/>
        <v>0</v>
      </c>
    </row>
    <row r="30" spans="1:16" ht="18" customHeight="1">
      <c r="A30" s="33"/>
      <c r="B30"/>
      <c r="C30"/>
      <c r="D30"/>
      <c r="E30"/>
      <c r="F30"/>
      <c r="G30"/>
      <c r="H30"/>
      <c r="I30"/>
      <c r="J30"/>
      <c r="K30" s="1"/>
      <c r="L30" s="1"/>
      <c r="M30" s="1"/>
      <c r="N30" s="1"/>
      <c r="O30" s="1"/>
      <c r="P30" s="1"/>
    </row>
    <row r="31" spans="1:16" ht="18" customHeight="1">
      <c r="A31" s="33" t="s">
        <v>75</v>
      </c>
      <c r="B31" s="24">
        <f>B21+B24+B29</f>
        <v>0</v>
      </c>
      <c r="C31" s="24">
        <f t="shared" ref="C31:K31" si="4">C21+C24+C29</f>
        <v>0</v>
      </c>
      <c r="D31" s="24">
        <f t="shared" si="4"/>
        <v>0</v>
      </c>
      <c r="E31" s="24">
        <f t="shared" si="4"/>
        <v>0</v>
      </c>
      <c r="F31" s="24">
        <f t="shared" si="4"/>
        <v>0</v>
      </c>
      <c r="G31" s="24">
        <f t="shared" si="4"/>
        <v>0</v>
      </c>
      <c r="H31" s="24">
        <f t="shared" si="4"/>
        <v>0</v>
      </c>
      <c r="I31" s="24">
        <f t="shared" si="4"/>
        <v>0</v>
      </c>
      <c r="J31" s="24">
        <f t="shared" si="4"/>
        <v>0</v>
      </c>
      <c r="K31" s="24">
        <f t="shared" si="4"/>
        <v>0</v>
      </c>
      <c r="L31" s="24">
        <f t="shared" ref="L31:P31" si="5">L21+L24+L29</f>
        <v>0</v>
      </c>
      <c r="M31" s="24">
        <f t="shared" si="5"/>
        <v>0</v>
      </c>
      <c r="N31" s="24">
        <f t="shared" si="5"/>
        <v>0</v>
      </c>
      <c r="O31" s="24">
        <f t="shared" si="5"/>
        <v>0</v>
      </c>
      <c r="P31" s="24">
        <f t="shared" si="5"/>
        <v>0</v>
      </c>
    </row>
    <row r="32" spans="1:16" ht="18" customHeight="1">
      <c r="A32" s="33" t="s">
        <v>76</v>
      </c>
      <c r="B32" s="24">
        <v>0</v>
      </c>
      <c r="C32" s="24">
        <f>B33</f>
        <v>0</v>
      </c>
      <c r="D32" s="24">
        <f t="shared" ref="D32:K32" si="6">C33</f>
        <v>0</v>
      </c>
      <c r="E32" s="24">
        <f t="shared" si="6"/>
        <v>0</v>
      </c>
      <c r="F32" s="24">
        <f t="shared" si="6"/>
        <v>0</v>
      </c>
      <c r="G32" s="24">
        <f t="shared" si="6"/>
        <v>0</v>
      </c>
      <c r="H32" s="24">
        <f t="shared" si="6"/>
        <v>0</v>
      </c>
      <c r="I32" s="24">
        <f t="shared" si="6"/>
        <v>0</v>
      </c>
      <c r="J32" s="24">
        <f t="shared" si="6"/>
        <v>0</v>
      </c>
      <c r="K32" s="24">
        <f t="shared" si="6"/>
        <v>0</v>
      </c>
      <c r="L32" s="24">
        <f t="shared" ref="L32" si="7">K33</f>
        <v>0</v>
      </c>
      <c r="M32" s="24">
        <f t="shared" ref="M32" si="8">L33</f>
        <v>0</v>
      </c>
      <c r="N32" s="24">
        <f t="shared" ref="N32" si="9">M33</f>
        <v>0</v>
      </c>
      <c r="O32" s="24">
        <f t="shared" ref="O32" si="10">N33</f>
        <v>0</v>
      </c>
      <c r="P32" s="24">
        <f t="shared" ref="P32" si="11">O33</f>
        <v>0</v>
      </c>
    </row>
    <row r="33" spans="1:16" ht="18" customHeight="1">
      <c r="A33" s="33" t="s">
        <v>77</v>
      </c>
      <c r="B33" s="24">
        <f>B31+B32</f>
        <v>0</v>
      </c>
      <c r="C33" s="24">
        <f t="shared" ref="C33:K33" si="12">C31+C32</f>
        <v>0</v>
      </c>
      <c r="D33" s="24">
        <f t="shared" si="12"/>
        <v>0</v>
      </c>
      <c r="E33" s="24">
        <f t="shared" si="12"/>
        <v>0</v>
      </c>
      <c r="F33" s="24">
        <f t="shared" si="12"/>
        <v>0</v>
      </c>
      <c r="G33" s="24">
        <f t="shared" si="12"/>
        <v>0</v>
      </c>
      <c r="H33" s="24">
        <f t="shared" si="12"/>
        <v>0</v>
      </c>
      <c r="I33" s="24">
        <f t="shared" si="12"/>
        <v>0</v>
      </c>
      <c r="J33" s="24">
        <f t="shared" si="12"/>
        <v>0</v>
      </c>
      <c r="K33" s="24">
        <f t="shared" si="12"/>
        <v>0</v>
      </c>
      <c r="L33" s="24">
        <f t="shared" ref="L33:P33" si="13">L31+L32</f>
        <v>0</v>
      </c>
      <c r="M33" s="24">
        <f t="shared" si="13"/>
        <v>0</v>
      </c>
      <c r="N33" s="24">
        <f t="shared" si="13"/>
        <v>0</v>
      </c>
      <c r="O33" s="24">
        <f t="shared" si="13"/>
        <v>0</v>
      </c>
      <c r="P33" s="24">
        <f t="shared" si="13"/>
        <v>0</v>
      </c>
    </row>
    <row r="34" spans="1:16" ht="18" customHeight="1">
      <c r="A34"/>
      <c r="B34"/>
      <c r="C34"/>
      <c r="D34"/>
      <c r="E34"/>
      <c r="F34"/>
      <c r="G34"/>
      <c r="H34"/>
      <c r="I34"/>
      <c r="J34"/>
      <c r="K34" s="1"/>
      <c r="M34" s="4"/>
      <c r="O34" s="21"/>
    </row>
    <row r="35" spans="1:16" ht="18" customHeight="1">
      <c r="A35"/>
      <c r="B35"/>
      <c r="C35"/>
      <c r="D35"/>
      <c r="E35"/>
      <c r="F35"/>
      <c r="G35"/>
      <c r="H35"/>
      <c r="I35"/>
      <c r="J35"/>
      <c r="K35" s="1"/>
    </row>
    <row r="36" spans="1:16" ht="18" customHeight="1">
      <c r="A36"/>
      <c r="B36"/>
      <c r="C36"/>
      <c r="D36"/>
      <c r="E36"/>
      <c r="F36"/>
      <c r="G36"/>
      <c r="H36"/>
      <c r="I36"/>
      <c r="J36"/>
      <c r="K36" s="1"/>
    </row>
    <row r="37" spans="1:16" ht="18" customHeight="1">
      <c r="A37"/>
      <c r="B37"/>
      <c r="C37"/>
      <c r="D37"/>
      <c r="E37"/>
      <c r="F37"/>
      <c r="G37"/>
      <c r="H37"/>
      <c r="I37"/>
      <c r="J37"/>
      <c r="K37" s="1"/>
    </row>
    <row r="38" spans="1:16" ht="18" customHeight="1">
      <c r="A38"/>
      <c r="B38"/>
      <c r="C38"/>
      <c r="D38"/>
      <c r="E38"/>
      <c r="F38"/>
      <c r="G38"/>
      <c r="H38"/>
      <c r="I38"/>
      <c r="J38"/>
      <c r="K38" s="1"/>
    </row>
    <row r="39" spans="1:16" ht="18" customHeight="1">
      <c r="A39"/>
      <c r="B39"/>
      <c r="C39"/>
      <c r="D39"/>
      <c r="E39"/>
      <c r="F39"/>
      <c r="G39"/>
      <c r="H39"/>
      <c r="I39"/>
      <c r="J39"/>
      <c r="K39" s="1"/>
    </row>
    <row r="40" spans="1:16" ht="18" customHeight="1">
      <c r="A40"/>
      <c r="B40"/>
      <c r="C40"/>
      <c r="D40"/>
      <c r="E40"/>
      <c r="F40"/>
      <c r="G40"/>
      <c r="H40"/>
      <c r="I40"/>
      <c r="J40"/>
      <c r="K40" s="1"/>
    </row>
    <row r="41" spans="1:16" ht="18" customHeight="1">
      <c r="A41"/>
      <c r="B41"/>
      <c r="C41"/>
      <c r="D41"/>
      <c r="E41"/>
      <c r="F41"/>
      <c r="G41"/>
      <c r="H41"/>
      <c r="I41"/>
      <c r="J41"/>
      <c r="K41" s="1"/>
    </row>
    <row r="42" spans="1:16" ht="18" customHeight="1">
      <c r="A42"/>
      <c r="B42"/>
      <c r="C42"/>
      <c r="D42"/>
      <c r="E42"/>
      <c r="F42"/>
      <c r="G42"/>
      <c r="H42"/>
      <c r="I42"/>
      <c r="J42"/>
      <c r="K42" s="1"/>
    </row>
    <row r="43" spans="1:16" ht="18" customHeight="1">
      <c r="A43"/>
      <c r="B43"/>
      <c r="C43"/>
      <c r="D43"/>
      <c r="E43"/>
      <c r="F43"/>
      <c r="G43"/>
      <c r="H43"/>
      <c r="I43"/>
      <c r="J43"/>
      <c r="K43" s="1"/>
    </row>
    <row r="44" spans="1:16" ht="18" customHeight="1">
      <c r="A44"/>
      <c r="B44"/>
      <c r="C44"/>
      <c r="D44"/>
      <c r="E44"/>
      <c r="F44"/>
      <c r="G44"/>
      <c r="H44"/>
      <c r="I44"/>
      <c r="J44"/>
      <c r="K44" s="1"/>
    </row>
    <row r="45" spans="1:16" ht="18" customHeight="1">
      <c r="A45" s="4"/>
      <c r="B45" s="4"/>
      <c r="C45" s="4"/>
      <c r="D45" s="4"/>
      <c r="K45" s="1"/>
    </row>
    <row r="46" spans="1:16" ht="18" customHeight="1">
      <c r="A46" s="4"/>
      <c r="B46" s="4"/>
      <c r="C46" s="4"/>
      <c r="D46" s="4"/>
      <c r="K46" s="1"/>
    </row>
    <row r="47" spans="1:16" ht="18" customHeight="1">
      <c r="D47" s="4"/>
      <c r="E47" s="18"/>
      <c r="F47" s="18"/>
      <c r="G47" s="18"/>
      <c r="H47" s="18"/>
      <c r="I47" s="18"/>
      <c r="J47" s="18"/>
      <c r="K47" s="1"/>
    </row>
    <row r="48" spans="1:16" ht="18" customHeight="1">
      <c r="D48" s="4"/>
      <c r="E48" s="4"/>
      <c r="F48" s="4"/>
      <c r="G48" s="4"/>
      <c r="H48" s="4"/>
      <c r="I48" s="4"/>
      <c r="J48" s="4"/>
      <c r="K48" s="1"/>
    </row>
  </sheetData>
  <printOptions horizontalCentered="1"/>
  <pageMargins left="0.2" right="0.2" top="0.5" bottom="0.25" header="0.3" footer="0.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A1:Q31"/>
  <sheetViews>
    <sheetView showGridLines="0" zoomScale="62" zoomScaleNormal="75" zoomScaleSheetLayoutView="81" workbookViewId="0">
      <selection activeCell="B17" sqref="B17"/>
    </sheetView>
  </sheetViews>
  <sheetFormatPr defaultColWidth="9.109375" defaultRowHeight="13.8"/>
  <cols>
    <col min="1" max="1" width="35.5546875" style="2" customWidth="1"/>
    <col min="2" max="2" width="18.109375" style="2" bestFit="1" customWidth="1"/>
    <col min="3" max="3" width="21.33203125" style="2" customWidth="1"/>
    <col min="4" max="4" width="20.44140625" style="2" customWidth="1"/>
    <col min="5" max="5" width="25.88671875" style="2" customWidth="1"/>
    <col min="6" max="6" width="19.6640625" style="2" bestFit="1" customWidth="1"/>
    <col min="7" max="11" width="15.5546875" style="2" customWidth="1"/>
    <col min="12" max="12" width="19.6640625" style="2" bestFit="1" customWidth="1"/>
    <col min="13" max="16" width="10.6640625" style="2" customWidth="1"/>
    <col min="17" max="17" width="13.5546875" style="2" bestFit="1" customWidth="1"/>
    <col min="18" max="22" width="10.6640625" style="2" customWidth="1"/>
    <col min="23" max="23" width="21.88671875" style="2" customWidth="1"/>
    <col min="24" max="16384" width="9.109375" style="2"/>
  </cols>
  <sheetData>
    <row r="1" spans="1:17" ht="18" customHeight="1">
      <c r="A1" s="3" t="s">
        <v>366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7" ht="18" customHeight="1">
      <c r="A2" s="3" t="s">
        <v>365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7" ht="18" customHeight="1">
      <c r="A3" s="3" t="s">
        <v>79</v>
      </c>
      <c r="B3" s="3"/>
      <c r="C3" s="1"/>
      <c r="D3" s="1"/>
      <c r="E3" s="1"/>
      <c r="F3" s="1"/>
      <c r="G3" s="1"/>
      <c r="H3" s="5"/>
      <c r="I3" s="5"/>
      <c r="J3" s="5"/>
      <c r="K3" s="6"/>
      <c r="L3" s="1"/>
    </row>
    <row r="4" spans="1:17" ht="7.5" customHeight="1">
      <c r="A4" s="4"/>
      <c r="B4" s="4"/>
      <c r="C4" s="4"/>
      <c r="D4" s="4"/>
      <c r="E4" s="4"/>
      <c r="F4" s="4"/>
      <c r="G4" s="4"/>
      <c r="H4" s="4"/>
      <c r="I4" s="7"/>
      <c r="J4" s="7"/>
      <c r="K4" s="7"/>
      <c r="L4" s="1"/>
    </row>
    <row r="5" spans="1:17" ht="11.25" customHeight="1">
      <c r="A5" s="8" t="s">
        <v>0</v>
      </c>
      <c r="B5" s="8"/>
      <c r="C5" s="9"/>
      <c r="D5" s="9"/>
      <c r="E5" s="9"/>
      <c r="F5" s="9"/>
      <c r="G5" s="9"/>
      <c r="H5" s="9"/>
      <c r="I5" s="9"/>
      <c r="J5" s="9"/>
      <c r="K5" s="9"/>
      <c r="L5" s="8" t="s">
        <v>0</v>
      </c>
      <c r="M5" s="9"/>
      <c r="N5" s="9"/>
      <c r="O5" s="9"/>
      <c r="P5" s="9"/>
      <c r="Q5" s="9"/>
    </row>
    <row r="6" spans="1:17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1"/>
    </row>
    <row r="7" spans="1:17" ht="17.399999999999999" customHeight="1">
      <c r="A7"/>
      <c r="B7" s="31">
        <v>0</v>
      </c>
      <c r="C7" s="31">
        <v>1</v>
      </c>
      <c r="D7" s="31">
        <v>2</v>
      </c>
      <c r="E7" s="31">
        <v>3</v>
      </c>
      <c r="F7" s="31">
        <v>4</v>
      </c>
      <c r="G7" s="31">
        <v>5</v>
      </c>
      <c r="H7" s="31">
        <v>6</v>
      </c>
      <c r="I7" s="31">
        <v>7</v>
      </c>
      <c r="J7" s="31">
        <v>8</v>
      </c>
      <c r="K7" s="31">
        <v>9</v>
      </c>
      <c r="L7" s="32">
        <v>10</v>
      </c>
      <c r="M7" s="32">
        <v>11</v>
      </c>
      <c r="N7" s="32">
        <v>12</v>
      </c>
      <c r="O7" s="32">
        <v>13</v>
      </c>
      <c r="P7" s="32">
        <v>14</v>
      </c>
      <c r="Q7" s="32">
        <v>15</v>
      </c>
    </row>
    <row r="8" spans="1:17" ht="18" customHeight="1">
      <c r="A8" t="s">
        <v>38</v>
      </c>
      <c r="B8" s="31"/>
      <c r="C8" s="31">
        <v>2025</v>
      </c>
      <c r="D8" s="31">
        <v>2026</v>
      </c>
      <c r="E8" s="31">
        <v>2027</v>
      </c>
      <c r="F8" s="31">
        <v>2028</v>
      </c>
      <c r="G8" s="31">
        <v>2029</v>
      </c>
      <c r="H8" s="31">
        <v>2030</v>
      </c>
      <c r="I8" s="31">
        <v>2031</v>
      </c>
      <c r="J8" s="31">
        <v>2032</v>
      </c>
      <c r="K8" s="31">
        <v>2033</v>
      </c>
      <c r="L8" s="31">
        <v>2034</v>
      </c>
      <c r="M8" s="31">
        <v>2035</v>
      </c>
      <c r="N8" s="31">
        <v>2036</v>
      </c>
      <c r="O8" s="31">
        <v>2037</v>
      </c>
      <c r="P8" s="31">
        <v>2038</v>
      </c>
      <c r="Q8" s="31">
        <v>2039</v>
      </c>
    </row>
    <row r="9" spans="1:17" ht="18" customHeight="1">
      <c r="A9"/>
      <c r="B9"/>
      <c r="C9"/>
      <c r="D9"/>
      <c r="E9"/>
      <c r="F9"/>
      <c r="G9"/>
      <c r="H9"/>
      <c r="I9"/>
      <c r="J9"/>
      <c r="K9"/>
      <c r="L9" s="1"/>
    </row>
    <row r="10" spans="1:17" ht="18" customHeight="1">
      <c r="A10"/>
      <c r="B10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7" ht="18" customHeight="1">
      <c r="A11" s="33" t="s">
        <v>80</v>
      </c>
      <c r="B11" s="33"/>
      <c r="C11" s="24">
        <f>PnL!B24</f>
        <v>0</v>
      </c>
      <c r="D11" s="24">
        <f>PnL!C24</f>
        <v>0</v>
      </c>
      <c r="E11" s="24">
        <f>PnL!D24</f>
        <v>0</v>
      </c>
      <c r="F11" s="24">
        <f>PnL!E24</f>
        <v>0</v>
      </c>
      <c r="G11" s="24">
        <f>PnL!F24</f>
        <v>0</v>
      </c>
      <c r="H11" s="24">
        <f>PnL!G24</f>
        <v>0</v>
      </c>
      <c r="I11" s="24">
        <f>PnL!H24</f>
        <v>0</v>
      </c>
      <c r="J11" s="24">
        <f>PnL!I24</f>
        <v>0</v>
      </c>
      <c r="K11" s="24">
        <f>PnL!J24</f>
        <v>0</v>
      </c>
      <c r="L11" s="24">
        <f>PnL!K24</f>
        <v>0</v>
      </c>
      <c r="M11" s="24">
        <f>PnL!L24</f>
        <v>0</v>
      </c>
      <c r="N11" s="24">
        <f>PnL!M24</f>
        <v>0</v>
      </c>
      <c r="O11" s="24">
        <f>PnL!N24</f>
        <v>0</v>
      </c>
      <c r="P11" s="24">
        <f>PnL!O24</f>
        <v>0</v>
      </c>
      <c r="Q11" s="24">
        <f>PnL!P24</f>
        <v>0</v>
      </c>
    </row>
    <row r="12" spans="1:17" ht="18" customHeight="1">
      <c r="A12" s="33" t="s">
        <v>68</v>
      </c>
      <c r="B12" s="33"/>
      <c r="C12" s="24">
        <f>PnL!B13+PnL!B18</f>
        <v>0</v>
      </c>
      <c r="D12" s="24">
        <f>PnL!C13+PnL!C18</f>
        <v>0</v>
      </c>
      <c r="E12" s="24">
        <f>PnL!D13+PnL!D18</f>
        <v>0</v>
      </c>
      <c r="F12" s="24">
        <f>PnL!E13+PnL!E18</f>
        <v>0</v>
      </c>
      <c r="G12" s="24">
        <f>PnL!F13+PnL!F18</f>
        <v>0</v>
      </c>
      <c r="H12" s="24">
        <f>PnL!G13+PnL!G18</f>
        <v>0</v>
      </c>
      <c r="I12" s="24">
        <f>PnL!H13+PnL!H18</f>
        <v>0</v>
      </c>
      <c r="J12" s="24">
        <f>PnL!I13+PnL!I18</f>
        <v>0</v>
      </c>
      <c r="K12" s="24">
        <f>PnL!J13+PnL!J18</f>
        <v>0</v>
      </c>
      <c r="L12" s="24">
        <f>PnL!K13+PnL!K18</f>
        <v>0</v>
      </c>
      <c r="M12" s="24">
        <f>PnL!L13+PnL!L18</f>
        <v>0</v>
      </c>
      <c r="N12" s="24">
        <f>PnL!M13+PnL!M18</f>
        <v>0</v>
      </c>
      <c r="O12" s="24">
        <f>PnL!N13+PnL!N18</f>
        <v>0</v>
      </c>
      <c r="P12" s="24">
        <f>PnL!O13+PnL!O18</f>
        <v>0</v>
      </c>
      <c r="Q12" s="24">
        <f>PnL!P13+PnL!P18</f>
        <v>0</v>
      </c>
    </row>
    <row r="13" spans="1:17" ht="18" customHeight="1">
      <c r="A13" s="33" t="s">
        <v>81</v>
      </c>
      <c r="B13" s="33"/>
      <c r="C13" s="4">
        <f>BS!B39-BS!A39</f>
        <v>0</v>
      </c>
      <c r="D13" s="4">
        <f>BS!C39-BS!B39</f>
        <v>0</v>
      </c>
      <c r="E13" s="4">
        <f>BS!D39-BS!C39</f>
        <v>0</v>
      </c>
      <c r="F13" s="4">
        <f>BS!E39-BS!D39</f>
        <v>0</v>
      </c>
      <c r="G13" s="4">
        <f>BS!F39-BS!E39</f>
        <v>0</v>
      </c>
      <c r="H13" s="4">
        <f>BS!G39-BS!F39</f>
        <v>0</v>
      </c>
      <c r="I13" s="4">
        <f>BS!H39-BS!G39</f>
        <v>0</v>
      </c>
      <c r="J13" s="4">
        <f>BS!I39-BS!H39</f>
        <v>0</v>
      </c>
      <c r="K13" s="4">
        <f>BS!J39-BS!I39</f>
        <v>0</v>
      </c>
      <c r="L13" s="4">
        <f>BS!K39-BS!J39</f>
        <v>0</v>
      </c>
      <c r="M13" s="4">
        <f>BS!L39-BS!K39</f>
        <v>0</v>
      </c>
      <c r="N13" s="4">
        <f>BS!M39-BS!L39</f>
        <v>0</v>
      </c>
      <c r="O13" s="4">
        <f>BS!N39-BS!M39</f>
        <v>0</v>
      </c>
      <c r="P13" s="4">
        <f>BS!O39-BS!N39</f>
        <v>0</v>
      </c>
      <c r="Q13" s="4">
        <f>BS!P39-BS!O39</f>
        <v>0</v>
      </c>
    </row>
    <row r="14" spans="1:17" ht="18" customHeight="1">
      <c r="A14" s="33" t="s">
        <v>410</v>
      </c>
      <c r="B14" s="38">
        <f>-BS!B30</f>
        <v>0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18" customHeight="1">
      <c r="A15" s="33" t="s">
        <v>82</v>
      </c>
      <c r="B15" s="39">
        <f>B14</f>
        <v>0</v>
      </c>
      <c r="C15" s="2">
        <f t="shared" ref="C15:K15" si="0">SUM(C11:C13)</f>
        <v>0</v>
      </c>
      <c r="D15" s="2">
        <f t="shared" si="0"/>
        <v>0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si="0"/>
        <v>0</v>
      </c>
      <c r="I15" s="2">
        <f t="shared" si="0"/>
        <v>0</v>
      </c>
      <c r="J15" s="2">
        <f t="shared" si="0"/>
        <v>0</v>
      </c>
      <c r="K15" s="2">
        <f t="shared" si="0"/>
        <v>0</v>
      </c>
      <c r="L15" s="2">
        <f t="shared" ref="L15:P15" si="1">SUM(L11:L13)</f>
        <v>0</v>
      </c>
      <c r="M15" s="2">
        <f t="shared" si="1"/>
        <v>0</v>
      </c>
      <c r="N15" s="2">
        <f t="shared" si="1"/>
        <v>0</v>
      </c>
      <c r="O15" s="2">
        <f t="shared" si="1"/>
        <v>0</v>
      </c>
      <c r="P15" s="2">
        <f t="shared" si="1"/>
        <v>0</v>
      </c>
      <c r="Q15" s="2">
        <f>SUM(Q11:Q13)</f>
        <v>0</v>
      </c>
    </row>
    <row r="16" spans="1:17">
      <c r="A16" s="33" t="s">
        <v>83</v>
      </c>
      <c r="B16" s="33"/>
      <c r="Q16" s="2">
        <f>IFERROR(Q15*(1+B24)/(B25-B24),0)</f>
        <v>0</v>
      </c>
    </row>
    <row r="17" spans="1:17">
      <c r="A17" s="33" t="s">
        <v>84</v>
      </c>
      <c r="B17" s="39">
        <f>B15+B16</f>
        <v>0</v>
      </c>
      <c r="C17" s="39">
        <f t="shared" ref="C17:K17" si="2">C15+C16</f>
        <v>0</v>
      </c>
      <c r="D17" s="39">
        <f t="shared" si="2"/>
        <v>0</v>
      </c>
      <c r="E17" s="39">
        <f t="shared" si="2"/>
        <v>0</v>
      </c>
      <c r="F17" s="39">
        <f t="shared" si="2"/>
        <v>0</v>
      </c>
      <c r="G17" s="39">
        <f t="shared" si="2"/>
        <v>0</v>
      </c>
      <c r="H17" s="39">
        <f t="shared" si="2"/>
        <v>0</v>
      </c>
      <c r="I17" s="39">
        <f t="shared" si="2"/>
        <v>0</v>
      </c>
      <c r="J17" s="39">
        <f t="shared" si="2"/>
        <v>0</v>
      </c>
      <c r="K17" s="39">
        <f t="shared" si="2"/>
        <v>0</v>
      </c>
      <c r="L17" s="39">
        <f t="shared" ref="L17:P17" si="3">L15+L16</f>
        <v>0</v>
      </c>
      <c r="M17" s="39">
        <f t="shared" si="3"/>
        <v>0</v>
      </c>
      <c r="N17" s="39">
        <f t="shared" si="3"/>
        <v>0</v>
      </c>
      <c r="O17" s="39">
        <f t="shared" si="3"/>
        <v>0</v>
      </c>
      <c r="P17" s="39">
        <f t="shared" si="3"/>
        <v>0</v>
      </c>
      <c r="Q17" s="39">
        <f>Q15+Q16</f>
        <v>0</v>
      </c>
    </row>
    <row r="18" spans="1:17">
      <c r="A18" s="36" t="s">
        <v>85</v>
      </c>
      <c r="B18" s="41">
        <f>NPV(B25,B17:Q17)</f>
        <v>0</v>
      </c>
    </row>
    <row r="19" spans="1:17">
      <c r="A19" s="36" t="s">
        <v>86</v>
      </c>
      <c r="B19" s="44">
        <f>IFERROR(IRR(B17:Q17),0)</f>
        <v>0</v>
      </c>
    </row>
    <row r="20" spans="1:17" ht="14.4">
      <c r="A20"/>
      <c r="B20"/>
    </row>
    <row r="21" spans="1:17">
      <c r="A21" s="37"/>
      <c r="B21" s="37"/>
    </row>
    <row r="22" spans="1:17">
      <c r="A22" s="33"/>
      <c r="B22" s="33"/>
    </row>
    <row r="23" spans="1:17">
      <c r="A23" s="33"/>
      <c r="B23" s="33"/>
    </row>
    <row r="24" spans="1:17">
      <c r="A24" s="36" t="s">
        <v>87</v>
      </c>
      <c r="B24" s="248">
        <v>0</v>
      </c>
    </row>
    <row r="25" spans="1:17">
      <c r="A25" s="36" t="s">
        <v>88</v>
      </c>
      <c r="B25" s="198">
        <f>B31</f>
        <v>0</v>
      </c>
    </row>
    <row r="26" spans="1:17">
      <c r="A26" s="33"/>
      <c r="B26" s="33"/>
    </row>
    <row r="27" spans="1:17">
      <c r="A27" s="33"/>
      <c r="B27" s="33"/>
    </row>
    <row r="28" spans="1:17">
      <c r="A28" s="33" t="s">
        <v>89</v>
      </c>
      <c r="B28" s="248">
        <v>0</v>
      </c>
    </row>
    <row r="29" spans="1:17">
      <c r="A29" s="33" t="s">
        <v>90</v>
      </c>
      <c r="B29" s="248">
        <v>0</v>
      </c>
    </row>
    <row r="30" spans="1:17">
      <c r="A30" s="33" t="s">
        <v>91</v>
      </c>
      <c r="B30" s="249">
        <v>0</v>
      </c>
    </row>
    <row r="31" spans="1:17">
      <c r="A31" s="33" t="s">
        <v>92</v>
      </c>
      <c r="B31" s="40">
        <f>B28+(B29*B30)</f>
        <v>0</v>
      </c>
    </row>
  </sheetData>
  <printOptions horizontalCentered="1"/>
  <pageMargins left="0.2" right="0.2" top="0.5" bottom="0.25" header="0.3" footer="0.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7C9D9-B216-4583-8782-914C23007C23}">
  <dimension ref="A1:Q18"/>
  <sheetViews>
    <sheetView showGridLines="0" tabSelected="1" zoomScale="62" zoomScaleNormal="75" zoomScaleSheetLayoutView="81" workbookViewId="0">
      <selection activeCell="L26" sqref="L26"/>
    </sheetView>
  </sheetViews>
  <sheetFormatPr defaultColWidth="9.109375" defaultRowHeight="13.8"/>
  <cols>
    <col min="1" max="1" width="35.5546875" style="2" customWidth="1"/>
    <col min="2" max="2" width="18.109375" style="2" bestFit="1" customWidth="1"/>
    <col min="3" max="3" width="21.33203125" style="2" customWidth="1"/>
    <col min="4" max="4" width="20.44140625" style="2" customWidth="1"/>
    <col min="5" max="5" width="25.88671875" style="2" customWidth="1"/>
    <col min="6" max="6" width="19.6640625" style="2" bestFit="1" customWidth="1"/>
    <col min="7" max="11" width="15.5546875" style="2" customWidth="1"/>
    <col min="12" max="12" width="19.6640625" style="2" bestFit="1" customWidth="1"/>
    <col min="13" max="16" width="10.6640625" style="2" customWidth="1"/>
    <col min="17" max="17" width="13.5546875" style="2" bestFit="1" customWidth="1"/>
    <col min="18" max="22" width="10.6640625" style="2" customWidth="1"/>
    <col min="23" max="23" width="21.88671875" style="2" customWidth="1"/>
    <col min="24" max="16384" width="9.109375" style="2"/>
  </cols>
  <sheetData>
    <row r="1" spans="1:17" ht="18" customHeight="1">
      <c r="A1" s="3" t="s">
        <v>366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7" ht="18" customHeight="1">
      <c r="A2" s="3" t="s">
        <v>365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7" ht="18" customHeight="1">
      <c r="A3" s="3" t="s">
        <v>440</v>
      </c>
      <c r="B3" s="3"/>
      <c r="C3" s="1"/>
      <c r="D3" s="1"/>
      <c r="E3" s="1"/>
      <c r="F3" s="1"/>
      <c r="G3" s="1"/>
      <c r="H3" s="5"/>
      <c r="I3" s="5"/>
      <c r="J3" s="5"/>
      <c r="K3" s="6"/>
      <c r="L3" s="1"/>
    </row>
    <row r="4" spans="1:17" ht="7.5" customHeight="1">
      <c r="A4" s="4"/>
      <c r="B4" s="4"/>
      <c r="C4" s="4"/>
      <c r="D4" s="4"/>
      <c r="E4" s="4"/>
      <c r="F4" s="4"/>
      <c r="G4" s="4"/>
      <c r="H4" s="4"/>
      <c r="I4" s="7"/>
      <c r="J4" s="7"/>
      <c r="K4" s="7"/>
      <c r="L4" s="1"/>
    </row>
    <row r="5" spans="1:17" ht="11.25" customHeight="1">
      <c r="A5" s="8" t="s">
        <v>0</v>
      </c>
      <c r="B5" s="8"/>
      <c r="C5" s="9"/>
      <c r="D5" s="9"/>
      <c r="E5" s="9"/>
      <c r="F5" s="9"/>
      <c r="G5" s="9"/>
      <c r="H5" s="9"/>
      <c r="I5" s="9"/>
      <c r="J5" s="9"/>
      <c r="K5" s="9"/>
      <c r="L5" s="8" t="s">
        <v>0</v>
      </c>
      <c r="M5" s="9"/>
      <c r="N5" s="9"/>
      <c r="O5" s="9"/>
      <c r="P5" s="9"/>
      <c r="Q5" s="9"/>
    </row>
    <row r="6" spans="1:17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1"/>
    </row>
    <row r="7" spans="1:17" ht="17.399999999999999" customHeight="1">
      <c r="A7"/>
      <c r="B7" s="31"/>
      <c r="C7" s="31">
        <v>1</v>
      </c>
      <c r="D7" s="31">
        <v>2</v>
      </c>
      <c r="E7" s="31">
        <v>3</v>
      </c>
      <c r="F7" s="31">
        <v>4</v>
      </c>
      <c r="G7" s="31">
        <v>5</v>
      </c>
      <c r="H7" s="31">
        <v>6</v>
      </c>
      <c r="I7" s="31">
        <v>7</v>
      </c>
      <c r="J7" s="31">
        <v>8</v>
      </c>
      <c r="K7" s="31">
        <v>9</v>
      </c>
      <c r="L7" s="32">
        <v>10</v>
      </c>
      <c r="M7" s="32">
        <v>11</v>
      </c>
      <c r="N7" s="32">
        <v>12</v>
      </c>
      <c r="O7" s="32">
        <v>13</v>
      </c>
      <c r="P7" s="32">
        <v>14</v>
      </c>
      <c r="Q7" s="32">
        <v>15</v>
      </c>
    </row>
    <row r="8" spans="1:17" ht="18" customHeight="1">
      <c r="A8" t="s">
        <v>38</v>
      </c>
      <c r="B8" s="31"/>
      <c r="C8" s="31">
        <v>2025</v>
      </c>
      <c r="D8" s="31">
        <v>2026</v>
      </c>
      <c r="E8" s="31">
        <v>2027</v>
      </c>
      <c r="F8" s="31">
        <v>2028</v>
      </c>
      <c r="G8" s="31">
        <v>2029</v>
      </c>
      <c r="H8" s="31">
        <v>2030</v>
      </c>
      <c r="I8" s="31">
        <v>2031</v>
      </c>
      <c r="J8" s="31">
        <v>2032</v>
      </c>
      <c r="K8" s="31">
        <v>2033</v>
      </c>
      <c r="L8" s="31">
        <v>2034</v>
      </c>
      <c r="M8" s="31">
        <v>2035</v>
      </c>
      <c r="N8" s="31">
        <v>2036</v>
      </c>
      <c r="O8" s="31">
        <v>2037</v>
      </c>
      <c r="P8" s="31">
        <v>2038</v>
      </c>
      <c r="Q8" s="31">
        <v>2039</v>
      </c>
    </row>
    <row r="9" spans="1:17" ht="18" customHeight="1">
      <c r="A9"/>
      <c r="B9"/>
      <c r="C9"/>
      <c r="D9"/>
      <c r="E9"/>
      <c r="F9"/>
      <c r="G9"/>
      <c r="H9"/>
      <c r="I9"/>
      <c r="J9"/>
      <c r="K9"/>
      <c r="L9" s="1"/>
    </row>
    <row r="10" spans="1:17" ht="18" customHeight="1">
      <c r="A10"/>
      <c r="B10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7" ht="18" customHeight="1">
      <c r="A11" s="33" t="s">
        <v>441</v>
      </c>
      <c r="B11" s="33"/>
    </row>
    <row r="12" spans="1:17" ht="18" customHeight="1">
      <c r="A12" s="33" t="s">
        <v>442</v>
      </c>
      <c r="B12" s="250" t="s">
        <v>449</v>
      </c>
      <c r="C12" s="24">
        <f>PnL!B24</f>
        <v>0</v>
      </c>
      <c r="D12" s="24">
        <f>PnL!C24</f>
        <v>0</v>
      </c>
      <c r="E12" s="24">
        <f>PnL!D24</f>
        <v>0</v>
      </c>
      <c r="F12" s="24">
        <f>PnL!E24</f>
        <v>0</v>
      </c>
      <c r="G12" s="24">
        <f>PnL!F24</f>
        <v>0</v>
      </c>
      <c r="H12" s="24">
        <f>PnL!G24</f>
        <v>0</v>
      </c>
      <c r="I12" s="24">
        <f>PnL!H24</f>
        <v>0</v>
      </c>
      <c r="J12" s="24">
        <f>PnL!I24</f>
        <v>0</v>
      </c>
      <c r="K12" s="24">
        <f>PnL!J24</f>
        <v>0</v>
      </c>
      <c r="L12" s="24">
        <f>PnL!K24</f>
        <v>0</v>
      </c>
      <c r="M12" s="24">
        <f>PnL!L24</f>
        <v>0</v>
      </c>
      <c r="N12" s="24">
        <f>PnL!M24</f>
        <v>0</v>
      </c>
      <c r="O12" s="24">
        <f>PnL!N24</f>
        <v>0</v>
      </c>
      <c r="P12" s="24">
        <f>PnL!O24</f>
        <v>0</v>
      </c>
      <c r="Q12" s="24">
        <f>PnL!P24</f>
        <v>0</v>
      </c>
    </row>
    <row r="13" spans="1:17" ht="18" customHeight="1">
      <c r="A13" s="33" t="s">
        <v>443</v>
      </c>
      <c r="B13" s="250" t="s">
        <v>450</v>
      </c>
      <c r="C13" s="253">
        <v>0</v>
      </c>
      <c r="D13" s="253">
        <v>0</v>
      </c>
      <c r="E13" s="253">
        <v>0</v>
      </c>
      <c r="F13" s="253">
        <v>0</v>
      </c>
      <c r="G13" s="253">
        <v>0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  <c r="O13" s="253">
        <v>0</v>
      </c>
      <c r="P13" s="253">
        <v>0</v>
      </c>
      <c r="Q13" s="253">
        <v>0</v>
      </c>
    </row>
    <row r="14" spans="1:17" ht="18" customHeight="1">
      <c r="A14" s="33" t="s">
        <v>444</v>
      </c>
      <c r="B14" s="251" t="s">
        <v>449</v>
      </c>
      <c r="C14" s="4">
        <f>C12*C13</f>
        <v>0</v>
      </c>
      <c r="D14" s="4">
        <f t="shared" ref="D14:Q14" si="0">D12*D13</f>
        <v>0</v>
      </c>
      <c r="E14" s="4">
        <f t="shared" si="0"/>
        <v>0</v>
      </c>
      <c r="F14" s="4">
        <f t="shared" si="0"/>
        <v>0</v>
      </c>
      <c r="G14" s="4">
        <f t="shared" si="0"/>
        <v>0</v>
      </c>
      <c r="H14" s="4">
        <f t="shared" si="0"/>
        <v>0</v>
      </c>
      <c r="I14" s="4">
        <f t="shared" si="0"/>
        <v>0</v>
      </c>
      <c r="J14" s="4">
        <f t="shared" si="0"/>
        <v>0</v>
      </c>
      <c r="K14" s="4">
        <f t="shared" si="0"/>
        <v>0</v>
      </c>
      <c r="L14" s="4">
        <f t="shared" si="0"/>
        <v>0</v>
      </c>
      <c r="M14" s="4">
        <f t="shared" si="0"/>
        <v>0</v>
      </c>
      <c r="N14" s="4">
        <f t="shared" si="0"/>
        <v>0</v>
      </c>
      <c r="O14" s="4">
        <f t="shared" si="0"/>
        <v>0</v>
      </c>
      <c r="P14" s="4">
        <f t="shared" si="0"/>
        <v>0</v>
      </c>
      <c r="Q14" s="4">
        <f t="shared" si="0"/>
        <v>0</v>
      </c>
    </row>
    <row r="15" spans="1:17" ht="18" customHeight="1">
      <c r="A15" s="33" t="s">
        <v>445</v>
      </c>
      <c r="B15" s="254">
        <v>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>
      <c r="A16" s="33" t="s">
        <v>446</v>
      </c>
      <c r="B16" s="250" t="s">
        <v>449</v>
      </c>
      <c r="C16" s="2">
        <f>C14*$B$15</f>
        <v>0</v>
      </c>
      <c r="D16" s="2">
        <f t="shared" ref="D16:Q16" si="1">D14*$B$15</f>
        <v>0</v>
      </c>
      <c r="E16" s="2">
        <f t="shared" si="1"/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si="1"/>
        <v>0</v>
      </c>
      <c r="J16" s="2">
        <f t="shared" si="1"/>
        <v>0</v>
      </c>
      <c r="K16" s="2">
        <f t="shared" si="1"/>
        <v>0</v>
      </c>
      <c r="L16" s="2">
        <f t="shared" si="1"/>
        <v>0</v>
      </c>
      <c r="M16" s="2">
        <f t="shared" si="1"/>
        <v>0</v>
      </c>
      <c r="N16" s="2">
        <f t="shared" si="1"/>
        <v>0</v>
      </c>
      <c r="O16" s="2">
        <f t="shared" si="1"/>
        <v>0</v>
      </c>
      <c r="P16" s="2">
        <f t="shared" si="1"/>
        <v>0</v>
      </c>
      <c r="Q16" s="2">
        <f t="shared" si="1"/>
        <v>0</v>
      </c>
    </row>
    <row r="17" spans="1:17">
      <c r="A17" s="33" t="s">
        <v>447</v>
      </c>
      <c r="B17" s="255">
        <v>0.15</v>
      </c>
      <c r="Q17" s="2">
        <f>IFERROR(Q16*(1+#REF!)/(#REF!-#REF!),0)</f>
        <v>0</v>
      </c>
    </row>
    <row r="18" spans="1:17">
      <c r="A18" s="36" t="s">
        <v>448</v>
      </c>
      <c r="B18" s="252">
        <f>IFERROR(NPV(B17,C16:Q16),0)</f>
        <v>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</sheetData>
  <printOptions horizontalCentered="1"/>
  <pageMargins left="0.2" right="0.2" top="0.5" bottom="0.2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E25"/>
  <sheetViews>
    <sheetView showGridLines="0" view="pageBreakPreview" zoomScale="60" zoomScaleNormal="70" workbookViewId="0">
      <selection activeCell="U20" sqref="U20"/>
    </sheetView>
  </sheetViews>
  <sheetFormatPr defaultRowHeight="14.4"/>
  <sheetData>
    <row r="25" spans="5:5">
      <c r="E25" t="s">
        <v>0</v>
      </c>
    </row>
  </sheetData>
  <printOptions horizontalCentered="1" verticalCentered="1"/>
  <pageMargins left="0.2" right="0.2" top="0.25" bottom="0.2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V158"/>
  <sheetViews>
    <sheetView showGridLines="0" zoomScale="78" zoomScaleNormal="75" zoomScaleSheetLayoutView="81" workbookViewId="0">
      <selection activeCell="A109" sqref="A109"/>
    </sheetView>
  </sheetViews>
  <sheetFormatPr defaultColWidth="9.109375" defaultRowHeight="13.8"/>
  <cols>
    <col min="1" max="1" width="41.5546875" style="2" customWidth="1"/>
    <col min="2" max="2" width="21.33203125" style="2" customWidth="1"/>
    <col min="3" max="3" width="20.44140625" style="2" customWidth="1"/>
    <col min="4" max="4" width="9" style="2" bestFit="1" customWidth="1"/>
    <col min="5" max="5" width="13.6640625" style="2" bestFit="1" customWidth="1"/>
    <col min="6" max="6" width="10.33203125" style="2" customWidth="1"/>
    <col min="7" max="7" width="17.33203125" style="2" customWidth="1"/>
    <col min="8" max="8" width="15.5546875" style="2" customWidth="1"/>
    <col min="9" max="9" width="18.33203125" style="2" bestFit="1" customWidth="1"/>
    <col min="10" max="10" width="9.109375" style="2"/>
    <col min="11" max="18" width="10.6640625" style="2" hidden="1" customWidth="1"/>
    <col min="19" max="20" width="10.6640625" style="2" customWidth="1"/>
    <col min="21" max="21" width="21.88671875" style="2" customWidth="1"/>
    <col min="22" max="16384" width="9.109375" style="2"/>
  </cols>
  <sheetData>
    <row r="1" spans="1:10" ht="18" customHeight="1">
      <c r="A1" s="3" t="s">
        <v>366</v>
      </c>
      <c r="B1" s="4"/>
      <c r="C1" s="4"/>
      <c r="D1" s="4"/>
      <c r="E1" s="4"/>
      <c r="F1" s="4"/>
      <c r="G1" s="4"/>
      <c r="H1" s="4"/>
      <c r="I1" s="4"/>
      <c r="J1" s="4"/>
    </row>
    <row r="2" spans="1:10" ht="18" customHeight="1">
      <c r="A2" s="3" t="s">
        <v>365</v>
      </c>
      <c r="B2" s="1"/>
      <c r="C2" s="1"/>
      <c r="D2" s="1"/>
      <c r="E2" s="1"/>
      <c r="F2" s="1"/>
      <c r="G2" s="1"/>
      <c r="H2" s="1"/>
      <c r="I2" s="1"/>
      <c r="J2" s="1"/>
    </row>
    <row r="3" spans="1:10" ht="18" customHeight="1">
      <c r="A3" s="3" t="s">
        <v>1</v>
      </c>
      <c r="B3" s="1"/>
      <c r="C3" s="1"/>
      <c r="D3" s="1"/>
      <c r="E3" s="1"/>
      <c r="F3" s="1"/>
      <c r="G3" s="5"/>
      <c r="H3" s="5"/>
      <c r="I3" s="5"/>
      <c r="J3" s="1"/>
    </row>
    <row r="4" spans="1:10" ht="7.5" customHeight="1">
      <c r="A4" s="4"/>
      <c r="B4" s="4"/>
      <c r="C4" s="4"/>
      <c r="D4" s="4"/>
      <c r="E4" s="4"/>
      <c r="F4" s="4"/>
      <c r="G4" s="4"/>
      <c r="H4" s="7"/>
      <c r="I4" s="7"/>
      <c r="J4" s="1"/>
    </row>
    <row r="5" spans="1:10" ht="11.25" customHeight="1">
      <c r="A5" s="8" t="s">
        <v>0</v>
      </c>
      <c r="B5" s="9"/>
      <c r="C5" s="9"/>
      <c r="D5" s="9"/>
      <c r="E5" s="9"/>
      <c r="F5" s="9"/>
      <c r="G5" s="9"/>
      <c r="H5" s="9"/>
      <c r="I5" s="9"/>
      <c r="J5" s="1"/>
    </row>
    <row r="6" spans="1:10" ht="12" customHeight="1">
      <c r="A6" s="4"/>
      <c r="B6" s="4"/>
      <c r="C6" s="4"/>
      <c r="D6" s="4"/>
      <c r="E6" s="4"/>
      <c r="F6" s="4"/>
      <c r="G6" s="4"/>
      <c r="H6" s="4"/>
      <c r="I6" s="4"/>
      <c r="J6" s="1"/>
    </row>
    <row r="7" spans="1:10" ht="17.399999999999999" customHeight="1">
      <c r="A7" s="76" t="s">
        <v>2</v>
      </c>
      <c r="B7" s="10"/>
      <c r="C7" s="11"/>
      <c r="D7" s="11"/>
      <c r="E7" s="260" t="s">
        <v>3</v>
      </c>
      <c r="J7" s="1"/>
    </row>
    <row r="8" spans="1:10" ht="17.399999999999999" customHeight="1">
      <c r="A8" s="77"/>
      <c r="B8" s="12"/>
      <c r="C8" s="13"/>
      <c r="D8" s="13"/>
      <c r="E8" s="261"/>
      <c r="J8" s="1"/>
    </row>
    <row r="9" spans="1:10" ht="17.399999999999999" customHeight="1">
      <c r="A9" s="14" t="s">
        <v>4</v>
      </c>
      <c r="B9" s="15"/>
      <c r="C9" s="16"/>
      <c r="D9" s="16"/>
      <c r="E9" s="16"/>
      <c r="J9" s="1"/>
    </row>
    <row r="10" spans="1:10" ht="17.399999999999999" customHeight="1">
      <c r="A10" s="72" t="s">
        <v>4</v>
      </c>
      <c r="B10" s="73"/>
      <c r="C10" s="73"/>
      <c r="D10" s="17"/>
      <c r="E10" s="262">
        <f>PR!B19</f>
        <v>0</v>
      </c>
      <c r="J10" s="1"/>
    </row>
    <row r="11" spans="1:10" ht="17.399999999999999" customHeight="1">
      <c r="A11" s="72"/>
      <c r="B11" s="73"/>
      <c r="C11" s="73"/>
      <c r="D11" s="17"/>
      <c r="E11" s="262"/>
      <c r="J11" s="1"/>
    </row>
    <row r="12" spans="1:10" ht="17.399999999999999" customHeight="1">
      <c r="A12" s="14" t="s">
        <v>4</v>
      </c>
      <c r="B12" s="15"/>
      <c r="C12" s="16"/>
      <c r="D12" s="16"/>
      <c r="E12" s="16"/>
      <c r="J12" s="1"/>
    </row>
    <row r="13" spans="1:10" ht="17.399999999999999" customHeight="1">
      <c r="A13" s="72" t="s">
        <v>421</v>
      </c>
      <c r="B13" s="73"/>
      <c r="C13" s="73"/>
      <c r="D13" s="73"/>
      <c r="E13" s="258">
        <f>PR!B18</f>
        <v>0</v>
      </c>
      <c r="J13" s="1"/>
    </row>
    <row r="14" spans="1:10" ht="17.399999999999999" customHeight="1">
      <c r="A14" s="74"/>
      <c r="B14" s="75"/>
      <c r="C14" s="75"/>
      <c r="D14" s="75"/>
      <c r="E14" s="259"/>
      <c r="J14" s="1"/>
    </row>
    <row r="15" spans="1:10" ht="17.399999999999999" customHeight="1">
      <c r="A15"/>
      <c r="B15"/>
      <c r="C15"/>
      <c r="D15"/>
      <c r="E15"/>
      <c r="F15"/>
      <c r="G15"/>
      <c r="H15"/>
      <c r="I15"/>
      <c r="J15" s="1"/>
    </row>
    <row r="16" spans="1:10" ht="17.399999999999999" customHeight="1">
      <c r="A16" s="221" t="s">
        <v>417</v>
      </c>
      <c r="B16"/>
      <c r="C16"/>
      <c r="D16"/>
      <c r="E16"/>
      <c r="F16"/>
      <c r="G16"/>
      <c r="H16"/>
      <c r="I16"/>
      <c r="J16" s="1"/>
    </row>
    <row r="17" spans="1:10" ht="17.399999999999999" customHeight="1">
      <c r="A17" t="s">
        <v>18</v>
      </c>
      <c r="B17">
        <v>8</v>
      </c>
      <c r="C17"/>
      <c r="D17"/>
      <c r="E17"/>
      <c r="F17"/>
      <c r="G17"/>
      <c r="H17"/>
      <c r="I17"/>
      <c r="J17" s="1"/>
    </row>
    <row r="18" spans="1:10" ht="17.399999999999999" customHeight="1">
      <c r="A18" t="s">
        <v>20</v>
      </c>
      <c r="B18" s="24">
        <v>43560</v>
      </c>
      <c r="C18"/>
      <c r="D18"/>
      <c r="E18"/>
      <c r="F18"/>
      <c r="G18"/>
      <c r="H18"/>
      <c r="I18"/>
      <c r="J18" s="1"/>
    </row>
    <row r="19" spans="1:10" ht="17.399999999999999" customHeight="1">
      <c r="A19" t="s">
        <v>25</v>
      </c>
      <c r="B19" s="166">
        <v>1.8365499999999999E-4</v>
      </c>
      <c r="C19"/>
      <c r="D19"/>
      <c r="E19"/>
      <c r="F19"/>
      <c r="G19"/>
      <c r="H19"/>
      <c r="I19"/>
      <c r="J19" s="1"/>
    </row>
    <row r="20" spans="1:10" ht="17.399999999999999" customHeight="1">
      <c r="A20" t="s">
        <v>21</v>
      </c>
      <c r="B20">
        <v>280</v>
      </c>
      <c r="C20"/>
      <c r="D20"/>
      <c r="E20"/>
      <c r="F20"/>
      <c r="G20"/>
      <c r="H20"/>
      <c r="I20"/>
      <c r="J20" s="1"/>
    </row>
    <row r="21" spans="1:10" ht="17.399999999999999" customHeight="1">
      <c r="A21"/>
      <c r="B21"/>
      <c r="C21"/>
      <c r="D21"/>
      <c r="E21"/>
      <c r="F21"/>
      <c r="G21"/>
      <c r="H21"/>
      <c r="I21"/>
      <c r="J21" s="1"/>
    </row>
    <row r="22" spans="1:10" ht="17.399999999999999" customHeight="1">
      <c r="A22" s="221" t="s">
        <v>22</v>
      </c>
      <c r="E22"/>
      <c r="F22"/>
      <c r="G22"/>
      <c r="H22"/>
      <c r="I22"/>
      <c r="J22" s="1"/>
    </row>
    <row r="23" spans="1:10" ht="17.399999999999999" customHeight="1">
      <c r="A23" s="19"/>
      <c r="B23" s="22" t="s">
        <v>19</v>
      </c>
      <c r="C23" s="22" t="s">
        <v>5</v>
      </c>
      <c r="D23" t="s">
        <v>23</v>
      </c>
      <c r="E23"/>
      <c r="F23"/>
      <c r="G23"/>
      <c r="H23"/>
      <c r="I23"/>
      <c r="J23" s="1"/>
    </row>
    <row r="24" spans="1:10" ht="17.399999999999999" customHeight="1">
      <c r="A24" t="s">
        <v>17</v>
      </c>
      <c r="B24" s="165">
        <f>D24/$B$18</f>
        <v>0.81005509641873275</v>
      </c>
      <c r="C24" s="165">
        <f>D24*$B$19</f>
        <v>6.48045033</v>
      </c>
      <c r="D24" s="25">
        <v>35286</v>
      </c>
      <c r="E24"/>
      <c r="F24"/>
      <c r="G24"/>
      <c r="H24"/>
      <c r="I24"/>
      <c r="J24" s="1"/>
    </row>
    <row r="25" spans="1:10" ht="17.399999999999999" customHeight="1">
      <c r="A25" t="s">
        <v>367</v>
      </c>
      <c r="B25" s="165">
        <f>D25/$B$18</f>
        <v>0.32139577594123048</v>
      </c>
      <c r="C25" s="165">
        <f>D25*$B$19</f>
        <v>2.57117</v>
      </c>
      <c r="D25" s="25">
        <v>14000</v>
      </c>
      <c r="E25"/>
      <c r="F25"/>
      <c r="G25"/>
      <c r="H25"/>
      <c r="I25"/>
      <c r="J25" s="1"/>
    </row>
    <row r="26" spans="1:10" ht="17.399999999999999" customHeight="1">
      <c r="A26" t="s">
        <v>368</v>
      </c>
      <c r="B26" s="165">
        <f>D26/$B$18</f>
        <v>0.48865932047750227</v>
      </c>
      <c r="C26" s="165">
        <f>D26*$B$19</f>
        <v>3.9092803299999996</v>
      </c>
      <c r="D26" s="25">
        <f>D24-D25</f>
        <v>21286</v>
      </c>
      <c r="E26"/>
      <c r="F26"/>
      <c r="G26"/>
      <c r="H26"/>
      <c r="I26"/>
      <c r="J26" s="1"/>
    </row>
    <row r="27" spans="1:10" ht="17.399999999999999" customHeight="1">
      <c r="B27"/>
      <c r="C27"/>
      <c r="D27" s="25"/>
      <c r="E27"/>
      <c r="F27"/>
      <c r="G27"/>
      <c r="H27"/>
      <c r="I27"/>
      <c r="J27" s="1"/>
    </row>
    <row r="28" spans="1:10" ht="17.399999999999999" customHeight="1">
      <c r="A28"/>
      <c r="B28" s="26"/>
      <c r="C28"/>
      <c r="D28"/>
      <c r="E28"/>
      <c r="F28"/>
      <c r="G28"/>
      <c r="H28"/>
      <c r="I28"/>
      <c r="J28" s="1"/>
    </row>
    <row r="29" spans="1:10" ht="17.399999999999999" customHeight="1">
      <c r="A29" s="221" t="s">
        <v>369</v>
      </c>
      <c r="B29"/>
      <c r="C29"/>
      <c r="D29"/>
      <c r="E29"/>
      <c r="F29"/>
      <c r="G29"/>
      <c r="H29"/>
      <c r="I29"/>
      <c r="J29" s="1"/>
    </row>
    <row r="30" spans="1:10" ht="17.399999999999999" customHeight="1" thickBot="1">
      <c r="A30" t="s">
        <v>27</v>
      </c>
      <c r="B30" s="24">
        <v>2</v>
      </c>
      <c r="C30"/>
      <c r="D30"/>
      <c r="E30"/>
      <c r="F30"/>
      <c r="G30"/>
      <c r="H30"/>
      <c r="I30"/>
      <c r="J30" s="1"/>
    </row>
    <row r="31" spans="1:10" ht="17.399999999999999" customHeight="1" thickBot="1">
      <c r="A31" s="213" t="s">
        <v>343</v>
      </c>
      <c r="B31" s="214"/>
      <c r="C31" s="214"/>
      <c r="D31" s="215"/>
      <c r="E31" s="215"/>
      <c r="F31" s="215"/>
      <c r="G31" s="216"/>
      <c r="H31"/>
      <c r="I31"/>
      <c r="J31" s="1"/>
    </row>
    <row r="32" spans="1:10" ht="17.399999999999999" customHeight="1" thickBot="1">
      <c r="A32" s="217" t="s">
        <v>346</v>
      </c>
      <c r="B32" s="215"/>
      <c r="C32" s="215"/>
      <c r="D32" s="215"/>
      <c r="E32" s="215"/>
      <c r="F32" s="215"/>
      <c r="G32" s="216"/>
      <c r="H32"/>
      <c r="I32"/>
      <c r="J32" s="1"/>
    </row>
    <row r="33" spans="1:10" ht="17.399999999999999" customHeight="1">
      <c r="A33" s="219" t="s">
        <v>347</v>
      </c>
      <c r="B33" s="206" t="s">
        <v>344</v>
      </c>
      <c r="C33" s="206" t="s">
        <v>345</v>
      </c>
      <c r="D33" s="206"/>
      <c r="E33" s="206"/>
      <c r="F33" s="206"/>
      <c r="G33" s="207" t="s">
        <v>370</v>
      </c>
      <c r="H33"/>
      <c r="I33"/>
      <c r="J33" s="1"/>
    </row>
    <row r="34" spans="1:10" ht="17.399999999999999" customHeight="1">
      <c r="A34" s="208" t="s">
        <v>348</v>
      </c>
      <c r="B34" s="206" t="s">
        <v>211</v>
      </c>
      <c r="C34" s="206" t="s">
        <v>349</v>
      </c>
      <c r="D34" s="206"/>
      <c r="E34" s="206"/>
      <c r="F34" s="206"/>
      <c r="G34" s="209">
        <f>20.9*16</f>
        <v>334.4</v>
      </c>
      <c r="H34"/>
      <c r="I34"/>
      <c r="J34" s="1"/>
    </row>
    <row r="35" spans="1:10" ht="17.399999999999999" customHeight="1">
      <c r="A35" s="208" t="s">
        <v>350</v>
      </c>
      <c r="B35" s="206" t="s">
        <v>200</v>
      </c>
      <c r="C35" s="206" t="s">
        <v>349</v>
      </c>
      <c r="D35" s="206"/>
      <c r="E35" s="206"/>
      <c r="F35" s="206"/>
      <c r="G35" s="226">
        <f>20.9*16</f>
        <v>334.4</v>
      </c>
      <c r="H35"/>
      <c r="I35"/>
      <c r="J35" s="1"/>
    </row>
    <row r="36" spans="1:10" ht="17.399999999999999" customHeight="1">
      <c r="A36" s="208" t="s">
        <v>355</v>
      </c>
      <c r="B36" s="206" t="s">
        <v>225</v>
      </c>
      <c r="C36" s="206" t="s">
        <v>356</v>
      </c>
      <c r="D36" s="206"/>
      <c r="E36" s="206"/>
      <c r="F36" s="206"/>
      <c r="G36" s="226">
        <f>(13.1*16)*6</f>
        <v>1257.5999999999999</v>
      </c>
      <c r="H36"/>
      <c r="I36"/>
      <c r="J36" s="1"/>
    </row>
    <row r="37" spans="1:10" ht="17.399999999999999" customHeight="1">
      <c r="A37" s="208" t="s">
        <v>351</v>
      </c>
      <c r="B37" s="206" t="s">
        <v>284</v>
      </c>
      <c r="C37" s="206" t="s">
        <v>352</v>
      </c>
      <c r="D37" s="206" t="s">
        <v>353</v>
      </c>
      <c r="E37" s="206" t="s">
        <v>354</v>
      </c>
      <c r="F37" s="206" t="s">
        <v>354</v>
      </c>
      <c r="G37" s="226">
        <f>13.1*13+13.7*13+13.3*13+13.3*13</f>
        <v>694.19999999999993</v>
      </c>
      <c r="H37"/>
      <c r="I37"/>
      <c r="J37" s="1"/>
    </row>
    <row r="38" spans="1:10" ht="17.399999999999999" customHeight="1">
      <c r="A38" s="220" t="s">
        <v>357</v>
      </c>
      <c r="B38" s="206"/>
      <c r="C38" s="206"/>
      <c r="D38" s="206"/>
      <c r="E38" s="206"/>
      <c r="F38" s="206"/>
      <c r="G38" s="226"/>
      <c r="H38"/>
      <c r="I38"/>
      <c r="J38" s="1"/>
    </row>
    <row r="39" spans="1:10" ht="17.399999999999999" customHeight="1">
      <c r="A39" s="208" t="s">
        <v>348</v>
      </c>
      <c r="B39" s="206" t="s">
        <v>200</v>
      </c>
      <c r="C39" s="206" t="s">
        <v>349</v>
      </c>
      <c r="D39" s="206"/>
      <c r="E39" s="206"/>
      <c r="F39" s="206"/>
      <c r="G39" s="226">
        <f>20.9*16</f>
        <v>334.4</v>
      </c>
      <c r="H39"/>
      <c r="I39"/>
      <c r="J39" s="1"/>
    </row>
    <row r="40" spans="1:10" ht="17.399999999999999" customHeight="1">
      <c r="A40" s="208" t="s">
        <v>350</v>
      </c>
      <c r="B40" s="206" t="s">
        <v>200</v>
      </c>
      <c r="C40" s="206" t="s">
        <v>349</v>
      </c>
      <c r="D40" s="206"/>
      <c r="E40" s="206"/>
      <c r="F40" s="206"/>
      <c r="G40" s="226">
        <f>20.9*16</f>
        <v>334.4</v>
      </c>
      <c r="H40"/>
      <c r="I40"/>
      <c r="J40" s="1"/>
    </row>
    <row r="41" spans="1:10" ht="17.399999999999999" customHeight="1">
      <c r="A41" s="208" t="s">
        <v>355</v>
      </c>
      <c r="B41" s="206" t="s">
        <v>426</v>
      </c>
      <c r="C41" s="206" t="s">
        <v>356</v>
      </c>
      <c r="D41" s="206"/>
      <c r="E41" s="206"/>
      <c r="F41" s="206"/>
      <c r="G41" s="226">
        <f>(13.1*16)*6</f>
        <v>1257.5999999999999</v>
      </c>
      <c r="H41"/>
      <c r="I41"/>
      <c r="J41" s="1"/>
    </row>
    <row r="42" spans="1:10" ht="17.399999999999999" customHeight="1" thickBot="1">
      <c r="A42" s="208" t="s">
        <v>351</v>
      </c>
      <c r="B42" s="206" t="s">
        <v>358</v>
      </c>
      <c r="C42" s="206" t="s">
        <v>352</v>
      </c>
      <c r="D42" s="206" t="s">
        <v>353</v>
      </c>
      <c r="E42" s="206" t="s">
        <v>354</v>
      </c>
      <c r="F42" s="206" t="s">
        <v>354</v>
      </c>
      <c r="G42" s="226">
        <f>13.1*13+13.7*13+13.3*13+13.3*13</f>
        <v>694.19999999999993</v>
      </c>
      <c r="H42"/>
      <c r="I42"/>
      <c r="J42" s="1"/>
    </row>
    <row r="43" spans="1:10" ht="17.399999999999999" customHeight="1" thickBot="1">
      <c r="A43" s="218" t="s">
        <v>359</v>
      </c>
      <c r="B43" s="215"/>
      <c r="C43" s="215"/>
      <c r="D43" s="215"/>
      <c r="E43" s="215"/>
      <c r="F43" s="215"/>
      <c r="G43" s="227"/>
      <c r="H43"/>
      <c r="I43"/>
      <c r="J43" s="1"/>
    </row>
    <row r="44" spans="1:10" ht="17.399999999999999" customHeight="1">
      <c r="A44" s="220" t="s">
        <v>347</v>
      </c>
      <c r="B44" s="206"/>
      <c r="C44" s="206"/>
      <c r="D44" s="206"/>
      <c r="E44" s="206"/>
      <c r="F44" s="206"/>
      <c r="G44" s="226"/>
      <c r="H44"/>
      <c r="I44"/>
      <c r="J44" s="1"/>
    </row>
    <row r="45" spans="1:10" ht="17.399999999999999" customHeight="1">
      <c r="A45" s="208" t="s">
        <v>348</v>
      </c>
      <c r="B45" s="206" t="s">
        <v>251</v>
      </c>
      <c r="C45" s="206" t="s">
        <v>349</v>
      </c>
      <c r="D45" s="206"/>
      <c r="E45" s="206"/>
      <c r="F45" s="206"/>
      <c r="G45" s="226">
        <f>20.9*16</f>
        <v>334.4</v>
      </c>
      <c r="H45"/>
      <c r="I45"/>
      <c r="J45" s="1"/>
    </row>
    <row r="46" spans="1:10" ht="17.399999999999999" customHeight="1">
      <c r="A46" s="208" t="s">
        <v>350</v>
      </c>
      <c r="B46" s="206" t="s">
        <v>251</v>
      </c>
      <c r="C46" s="206" t="s">
        <v>349</v>
      </c>
      <c r="D46" s="206"/>
      <c r="E46" s="206"/>
      <c r="F46" s="206"/>
      <c r="G46" s="226">
        <f>20.9*16</f>
        <v>334.4</v>
      </c>
      <c r="H46"/>
      <c r="I46"/>
      <c r="J46" s="1"/>
    </row>
    <row r="47" spans="1:10" ht="17.399999999999999" customHeight="1">
      <c r="A47" s="208" t="s">
        <v>360</v>
      </c>
      <c r="B47" s="206" t="s">
        <v>225</v>
      </c>
      <c r="C47" s="206" t="s">
        <v>356</v>
      </c>
      <c r="D47" s="206"/>
      <c r="E47" s="206"/>
      <c r="F47" s="206"/>
      <c r="G47" s="226">
        <f>(13.1*16)*6</f>
        <v>1257.5999999999999</v>
      </c>
      <c r="H47"/>
      <c r="I47"/>
      <c r="J47" s="1"/>
    </row>
    <row r="48" spans="1:10" ht="17.399999999999999" customHeight="1">
      <c r="A48" s="208" t="s">
        <v>361</v>
      </c>
      <c r="B48" s="206" t="s">
        <v>362</v>
      </c>
      <c r="C48" s="206" t="s">
        <v>352</v>
      </c>
      <c r="D48" s="206" t="s">
        <v>353</v>
      </c>
      <c r="E48" s="206" t="s">
        <v>354</v>
      </c>
      <c r="F48" s="206" t="s">
        <v>354</v>
      </c>
      <c r="G48" s="226">
        <f>13.1*13+13.7*13+13.3*13+13.3*13</f>
        <v>694.19999999999993</v>
      </c>
      <c r="H48"/>
      <c r="I48"/>
      <c r="J48" s="1"/>
    </row>
    <row r="49" spans="1:10" ht="17.399999999999999" customHeight="1">
      <c r="A49" s="220" t="s">
        <v>357</v>
      </c>
      <c r="B49" s="206"/>
      <c r="C49" s="206"/>
      <c r="D49" s="206"/>
      <c r="E49" s="206"/>
      <c r="F49" s="206"/>
      <c r="G49" s="226"/>
      <c r="H49"/>
      <c r="I49"/>
      <c r="J49" s="1"/>
    </row>
    <row r="50" spans="1:10" ht="17.399999999999999" customHeight="1">
      <c r="A50" s="208" t="s">
        <v>348</v>
      </c>
      <c r="B50" s="206" t="s">
        <v>273</v>
      </c>
      <c r="C50" s="206" t="s">
        <v>349</v>
      </c>
      <c r="D50" s="206"/>
      <c r="E50" s="206"/>
      <c r="F50" s="206"/>
      <c r="G50" s="226">
        <f>20.9*16</f>
        <v>334.4</v>
      </c>
      <c r="H50"/>
      <c r="I50"/>
      <c r="J50" s="1"/>
    </row>
    <row r="51" spans="1:10" ht="17.399999999999999" customHeight="1">
      <c r="A51" s="208" t="s">
        <v>350</v>
      </c>
      <c r="B51" s="206" t="s">
        <v>278</v>
      </c>
      <c r="C51" s="206" t="s">
        <v>349</v>
      </c>
      <c r="D51" s="206"/>
      <c r="E51" s="206"/>
      <c r="F51" s="206"/>
      <c r="G51" s="226">
        <f>20.9*16</f>
        <v>334.4</v>
      </c>
      <c r="H51"/>
      <c r="I51"/>
      <c r="J51" s="1"/>
    </row>
    <row r="52" spans="1:10" ht="17.399999999999999" customHeight="1">
      <c r="A52" s="208" t="s">
        <v>360</v>
      </c>
      <c r="B52" s="206" t="s">
        <v>251</v>
      </c>
      <c r="C52" s="210" t="s">
        <v>356</v>
      </c>
      <c r="D52" s="210"/>
      <c r="E52" s="210"/>
      <c r="F52" s="210"/>
      <c r="G52" s="226">
        <f>(13.1*16)*6</f>
        <v>1257.5999999999999</v>
      </c>
      <c r="H52"/>
      <c r="I52"/>
      <c r="J52" s="1"/>
    </row>
    <row r="53" spans="1:10" ht="17.399999999999999" customHeight="1">
      <c r="A53" s="208" t="s">
        <v>363</v>
      </c>
      <c r="B53" s="206" t="s">
        <v>267</v>
      </c>
      <c r="C53" s="206" t="s">
        <v>352</v>
      </c>
      <c r="D53" s="206" t="s">
        <v>353</v>
      </c>
      <c r="E53" s="206"/>
      <c r="F53" s="206"/>
      <c r="G53" s="226">
        <f>13.1*13+13.7*13</f>
        <v>348.4</v>
      </c>
      <c r="H53"/>
      <c r="I53"/>
      <c r="J53" s="1"/>
    </row>
    <row r="54" spans="1:10" ht="17.399999999999999" customHeight="1" thickBot="1">
      <c r="A54" s="211" t="s">
        <v>364</v>
      </c>
      <c r="B54" s="212" t="s">
        <v>258</v>
      </c>
      <c r="C54" s="212" t="s">
        <v>354</v>
      </c>
      <c r="D54" s="212" t="s">
        <v>354</v>
      </c>
      <c r="E54" s="212"/>
      <c r="F54" s="212"/>
      <c r="G54" s="228">
        <f>13.3*13+13.3*13</f>
        <v>345.8</v>
      </c>
      <c r="H54" s="25"/>
      <c r="I54"/>
      <c r="J54" s="1"/>
    </row>
    <row r="55" spans="1:10" ht="17.399999999999999" customHeight="1">
      <c r="A55" s="42"/>
      <c r="B55"/>
      <c r="C55"/>
      <c r="D55"/>
      <c r="E55"/>
      <c r="F55"/>
      <c r="H55" s="25"/>
      <c r="I55"/>
      <c r="J55" s="1"/>
    </row>
    <row r="56" spans="1:10" ht="17.399999999999999" customHeight="1">
      <c r="A56" s="42"/>
      <c r="B56"/>
      <c r="C56"/>
      <c r="D56"/>
      <c r="E56"/>
      <c r="F56"/>
      <c r="H56" s="25"/>
      <c r="I56"/>
      <c r="J56" s="1"/>
    </row>
    <row r="57" spans="1:10" ht="17.399999999999999" customHeight="1">
      <c r="A57" s="221" t="s">
        <v>418</v>
      </c>
      <c r="B57"/>
      <c r="C57"/>
      <c r="D57"/>
      <c r="E57"/>
      <c r="F57"/>
      <c r="G57"/>
      <c r="H57"/>
      <c r="I57"/>
      <c r="J57" s="1"/>
    </row>
    <row r="58" spans="1:10" ht="17.399999999999999" customHeight="1">
      <c r="A58" t="s">
        <v>115</v>
      </c>
      <c r="B58" s="24">
        <f>'Component 1- Electric Work'!F62</f>
        <v>0</v>
      </c>
      <c r="C58"/>
      <c r="D58"/>
      <c r="E58"/>
      <c r="F58"/>
      <c r="G58"/>
      <c r="H58"/>
      <c r="I58"/>
      <c r="J58" s="1"/>
    </row>
    <row r="59" spans="1:10" ht="17.399999999999999" customHeight="1">
      <c r="A59" t="s">
        <v>116</v>
      </c>
      <c r="B59" s="24">
        <f>'Component 2- Plumbing Work'!F31</f>
        <v>0</v>
      </c>
      <c r="C59"/>
      <c r="D59"/>
      <c r="E59"/>
      <c r="F59"/>
      <c r="G59"/>
      <c r="H59"/>
      <c r="I59"/>
      <c r="J59" s="1"/>
    </row>
    <row r="60" spans="1:10" ht="17.399999999999999" customHeight="1">
      <c r="A60" t="s">
        <v>117</v>
      </c>
      <c r="B60" s="24">
        <f>'Component 3- STP '!F248</f>
        <v>0</v>
      </c>
      <c r="C60"/>
      <c r="D60"/>
      <c r="E60"/>
      <c r="F60"/>
      <c r="G60"/>
      <c r="H60"/>
      <c r="I60"/>
      <c r="J60" s="1"/>
    </row>
    <row r="61" spans="1:10" ht="17.399999999999999" customHeight="1">
      <c r="A61" t="s">
        <v>419</v>
      </c>
      <c r="B61" s="24">
        <f>SUM(B58:B60)*0.05</f>
        <v>0</v>
      </c>
      <c r="C61"/>
      <c r="D61"/>
      <c r="E61"/>
      <c r="F61"/>
      <c r="G61"/>
      <c r="H61"/>
      <c r="I61"/>
      <c r="J61" s="1"/>
    </row>
    <row r="62" spans="1:10" ht="17.399999999999999" customHeight="1">
      <c r="A62"/>
      <c r="B62" s="25"/>
      <c r="C62"/>
      <c r="D62"/>
      <c r="E62"/>
      <c r="F62"/>
      <c r="G62"/>
      <c r="H62"/>
      <c r="I62"/>
      <c r="J62" s="1"/>
    </row>
    <row r="63" spans="1:10" ht="17.399999999999999" customHeight="1">
      <c r="A63" s="19" t="s">
        <v>28</v>
      </c>
      <c r="B63" s="28">
        <f>SUM(B58:B61)</f>
        <v>0</v>
      </c>
      <c r="C63"/>
      <c r="D63"/>
      <c r="E63"/>
      <c r="F63"/>
      <c r="G63"/>
      <c r="H63"/>
      <c r="I63"/>
      <c r="J63" s="1"/>
    </row>
    <row r="64" spans="1:10" ht="17.399999999999999" customHeight="1">
      <c r="A64"/>
      <c r="B64"/>
      <c r="C64"/>
      <c r="D64"/>
      <c r="E64"/>
      <c r="F64"/>
      <c r="G64"/>
      <c r="H64"/>
      <c r="I64"/>
      <c r="J64" s="1"/>
    </row>
    <row r="65" spans="1:10" ht="17.399999999999999" customHeight="1">
      <c r="A65" t="s">
        <v>411</v>
      </c>
      <c r="B65" s="231">
        <v>0</v>
      </c>
      <c r="C65"/>
      <c r="D65"/>
      <c r="E65"/>
      <c r="F65"/>
      <c r="G65"/>
      <c r="H65"/>
      <c r="I65"/>
      <c r="J65" s="1"/>
    </row>
    <row r="66" spans="1:10" ht="17.399999999999999" customHeight="1">
      <c r="A66"/>
      <c r="B66"/>
      <c r="C66"/>
      <c r="D66"/>
      <c r="E66"/>
      <c r="F66"/>
      <c r="G66"/>
      <c r="H66"/>
      <c r="I66"/>
      <c r="J66" s="1"/>
    </row>
    <row r="67" spans="1:10" ht="17.399999999999999" customHeight="1">
      <c r="A67"/>
      <c r="B67"/>
      <c r="C67"/>
      <c r="D67"/>
      <c r="E67"/>
      <c r="F67"/>
      <c r="G67"/>
      <c r="H67"/>
      <c r="I67"/>
      <c r="J67" s="1"/>
    </row>
    <row r="68" spans="1:10" ht="17.399999999999999" customHeight="1">
      <c r="A68" s="221" t="s">
        <v>29</v>
      </c>
      <c r="B68"/>
      <c r="C68"/>
      <c r="D68"/>
      <c r="E68"/>
      <c r="F68"/>
      <c r="G68"/>
      <c r="H68"/>
      <c r="I68"/>
      <c r="J68" s="1"/>
    </row>
    <row r="69" spans="1:10" ht="17.399999999999999" customHeight="1">
      <c r="A69" t="s">
        <v>30</v>
      </c>
      <c r="B69" s="26">
        <v>0</v>
      </c>
      <c r="C69"/>
      <c r="D69"/>
      <c r="E69"/>
      <c r="F69"/>
      <c r="G69"/>
      <c r="H69"/>
      <c r="I69"/>
      <c r="J69" s="1"/>
    </row>
    <row r="70" spans="1:10" ht="17.399999999999999" customHeight="1">
      <c r="A70" t="s">
        <v>31</v>
      </c>
      <c r="B70" s="29">
        <v>0.03</v>
      </c>
      <c r="C70"/>
      <c r="D70"/>
      <c r="E70"/>
      <c r="F70"/>
      <c r="G70"/>
      <c r="H70"/>
      <c r="I70"/>
      <c r="J70" s="1"/>
    </row>
    <row r="71" spans="1:10" ht="17.399999999999999" customHeight="1">
      <c r="A71"/>
      <c r="B71"/>
      <c r="C71"/>
      <c r="D71"/>
      <c r="E71"/>
      <c r="F71"/>
      <c r="G71"/>
      <c r="H71"/>
      <c r="I71"/>
      <c r="J71" s="1"/>
    </row>
    <row r="72" spans="1:10" ht="17.399999999999999" customHeight="1">
      <c r="A72"/>
      <c r="B72"/>
      <c r="C72"/>
      <c r="D72" s="25"/>
      <c r="E72"/>
      <c r="F72"/>
      <c r="G72"/>
      <c r="H72"/>
      <c r="I72"/>
      <c r="J72" s="1"/>
    </row>
    <row r="73" spans="1:10" ht="17.399999999999999" customHeight="1">
      <c r="A73" s="221" t="s">
        <v>32</v>
      </c>
      <c r="C73"/>
      <c r="D73"/>
      <c r="E73"/>
      <c r="F73"/>
      <c r="G73"/>
      <c r="H73"/>
      <c r="I73"/>
      <c r="J73" s="1"/>
    </row>
    <row r="74" spans="1:10" ht="17.399999999999999" customHeight="1">
      <c r="A74" s="221"/>
      <c r="B74" s="22" t="s">
        <v>43</v>
      </c>
      <c r="C74"/>
      <c r="D74"/>
      <c r="E74"/>
      <c r="F74"/>
      <c r="G74"/>
      <c r="H74"/>
      <c r="I74"/>
      <c r="J74" s="1"/>
    </row>
    <row r="75" spans="1:10" ht="17.399999999999999" customHeight="1">
      <c r="A75" t="s">
        <v>371</v>
      </c>
      <c r="B75" s="231">
        <v>0</v>
      </c>
      <c r="C75" s="25"/>
      <c r="D75" s="25"/>
      <c r="E75" s="24"/>
      <c r="F75"/>
      <c r="G75"/>
      <c r="H75"/>
      <c r="I75"/>
      <c r="J75" s="1"/>
    </row>
    <row r="76" spans="1:10" ht="17.399999999999999" customHeight="1">
      <c r="A76" t="s">
        <v>372</v>
      </c>
      <c r="B76" s="231">
        <v>0</v>
      </c>
      <c r="C76"/>
      <c r="D76" s="25"/>
      <c r="E76" s="24"/>
      <c r="F76"/>
      <c r="G76"/>
      <c r="H76"/>
      <c r="I76"/>
      <c r="J76" s="1"/>
    </row>
    <row r="77" spans="1:10" ht="17.399999999999999" customHeight="1">
      <c r="A77" t="s">
        <v>373</v>
      </c>
      <c r="B77" s="231">
        <v>0</v>
      </c>
      <c r="C77"/>
      <c r="D77" s="25"/>
      <c r="E77" s="24"/>
      <c r="F77"/>
      <c r="G77"/>
      <c r="H77"/>
      <c r="I77"/>
      <c r="J77" s="1"/>
    </row>
    <row r="78" spans="1:10" ht="17.399999999999999" customHeight="1">
      <c r="A78" t="s">
        <v>33</v>
      </c>
      <c r="B78" s="231">
        <v>0</v>
      </c>
      <c r="C78"/>
      <c r="D78"/>
      <c r="E78"/>
      <c r="F78"/>
      <c r="G78"/>
      <c r="H78"/>
      <c r="I78"/>
      <c r="J78" s="1"/>
    </row>
    <row r="79" spans="1:10" ht="17.399999999999999" customHeight="1">
      <c r="A79" t="s">
        <v>432</v>
      </c>
      <c r="B79" s="231">
        <v>0</v>
      </c>
      <c r="C79"/>
      <c r="D79"/>
      <c r="E79"/>
      <c r="F79"/>
      <c r="G79"/>
      <c r="H79"/>
      <c r="I79"/>
      <c r="J79" s="1"/>
    </row>
    <row r="80" spans="1:10" ht="17.399999999999999" customHeight="1">
      <c r="A80" s="246" t="s">
        <v>433</v>
      </c>
      <c r="B80" s="35"/>
      <c r="C80"/>
      <c r="D80"/>
      <c r="E80"/>
      <c r="F80"/>
      <c r="G80"/>
      <c r="H80"/>
      <c r="I80"/>
      <c r="J80" s="1"/>
    </row>
    <row r="81" spans="1:22" ht="17.399999999999999" customHeight="1">
      <c r="A81"/>
      <c r="B81" s="24"/>
      <c r="C81"/>
      <c r="D81"/>
      <c r="E81"/>
      <c r="F81"/>
      <c r="G81"/>
      <c r="H81"/>
      <c r="I81"/>
      <c r="J81" s="1"/>
    </row>
    <row r="82" spans="1:22" ht="17.399999999999999" customHeight="1">
      <c r="A82" s="221" t="s">
        <v>97</v>
      </c>
      <c r="B82" s="42"/>
      <c r="C82"/>
      <c r="D82"/>
      <c r="E82"/>
      <c r="F82"/>
      <c r="G82"/>
      <c r="H82"/>
      <c r="I82"/>
      <c r="J82" s="1"/>
    </row>
    <row r="83" spans="1:22" ht="17.399999999999999" customHeight="1">
      <c r="A83"/>
      <c r="B83" s="42"/>
      <c r="C83"/>
      <c r="D83"/>
      <c r="E83"/>
      <c r="F83"/>
      <c r="G83"/>
      <c r="H83"/>
      <c r="I83"/>
      <c r="J83" s="1"/>
      <c r="T83" s="19"/>
    </row>
    <row r="84" spans="1:22" ht="18" hidden="1" customHeight="1">
      <c r="A84" t="s">
        <v>374</v>
      </c>
      <c r="B84" s="35">
        <v>18</v>
      </c>
      <c r="C84"/>
      <c r="D84" s="70"/>
      <c r="E84" s="25"/>
      <c r="G84"/>
      <c r="H84"/>
      <c r="I84"/>
      <c r="J84" s="1"/>
      <c r="V84"/>
    </row>
    <row r="85" spans="1:22" ht="18" hidden="1" customHeight="1">
      <c r="A85" t="s">
        <v>378</v>
      </c>
      <c r="B85">
        <f>145000/100000</f>
        <v>1.45</v>
      </c>
      <c r="C85" t="s">
        <v>379</v>
      </c>
      <c r="D85" s="70"/>
      <c r="E85" s="25"/>
      <c r="F85"/>
      <c r="G85" s="24">
        <v>145000</v>
      </c>
      <c r="H85" s="24">
        <f>1300*18</f>
        <v>23400</v>
      </c>
      <c r="I85"/>
      <c r="J85" s="1"/>
      <c r="V85"/>
    </row>
    <row r="86" spans="1:22" ht="18" customHeight="1">
      <c r="A86" t="s">
        <v>6</v>
      </c>
      <c r="B86" s="231">
        <v>0</v>
      </c>
      <c r="C86" t="s">
        <v>375</v>
      </c>
      <c r="D86" s="71"/>
      <c r="E86"/>
      <c r="F86"/>
      <c r="G86" s="24"/>
      <c r="H86"/>
      <c r="I86"/>
      <c r="J86" s="1"/>
      <c r="T86" s="19"/>
    </row>
    <row r="87" spans="1:22" ht="18" customHeight="1">
      <c r="A87" t="s">
        <v>96</v>
      </c>
      <c r="B87" s="232">
        <v>0</v>
      </c>
      <c r="C87" t="s">
        <v>434</v>
      </c>
      <c r="D87"/>
      <c r="E87"/>
      <c r="F87"/>
      <c r="G87"/>
      <c r="H87"/>
      <c r="I87"/>
      <c r="J87" s="1"/>
    </row>
    <row r="88" spans="1:22" ht="18" customHeight="1">
      <c r="A88" t="s">
        <v>7</v>
      </c>
      <c r="B88" s="232">
        <v>0</v>
      </c>
      <c r="C88" t="s">
        <v>434</v>
      </c>
      <c r="D88"/>
      <c r="E88"/>
      <c r="F88"/>
      <c r="G88"/>
      <c r="H88"/>
      <c r="I88"/>
      <c r="J88" s="1"/>
    </row>
    <row r="89" spans="1:22" ht="18" customHeight="1">
      <c r="A89" t="s">
        <v>377</v>
      </c>
      <c r="B89" s="231">
        <v>0</v>
      </c>
      <c r="C89" t="s">
        <v>375</v>
      </c>
      <c r="D89"/>
      <c r="E89"/>
      <c r="F89"/>
      <c r="G89"/>
      <c r="H89"/>
      <c r="I89"/>
      <c r="J89" s="1"/>
    </row>
    <row r="90" spans="1:22" ht="18" customHeight="1">
      <c r="A90" t="s">
        <v>9</v>
      </c>
      <c r="B90" s="35"/>
      <c r="C90"/>
      <c r="D90"/>
      <c r="E90"/>
      <c r="F90"/>
      <c r="G90"/>
      <c r="H90"/>
      <c r="I90"/>
      <c r="J90" s="1"/>
    </row>
    <row r="91" spans="1:22" ht="18" customHeight="1">
      <c r="A91" t="s">
        <v>427</v>
      </c>
      <c r="B91" s="231">
        <v>0</v>
      </c>
      <c r="C91" t="s">
        <v>375</v>
      </c>
      <c r="D91"/>
      <c r="E91"/>
      <c r="F91"/>
      <c r="G91"/>
      <c r="H91"/>
      <c r="I91"/>
      <c r="J91" s="1"/>
    </row>
    <row r="92" spans="1:22" ht="18" customHeight="1">
      <c r="A92" t="s">
        <v>428</v>
      </c>
      <c r="B92" s="231">
        <v>0</v>
      </c>
      <c r="C92" t="s">
        <v>375</v>
      </c>
      <c r="D92"/>
      <c r="E92"/>
      <c r="F92"/>
      <c r="G92"/>
      <c r="H92"/>
      <c r="I92"/>
      <c r="J92" s="1"/>
    </row>
    <row r="93" spans="1:22" ht="18" customHeight="1">
      <c r="A93" t="s">
        <v>429</v>
      </c>
      <c r="B93" s="231">
        <v>0</v>
      </c>
      <c r="C93" t="s">
        <v>375</v>
      </c>
      <c r="D93"/>
      <c r="E93"/>
      <c r="F93"/>
      <c r="G93"/>
      <c r="H93"/>
      <c r="I93"/>
      <c r="J93" s="1"/>
    </row>
    <row r="94" spans="1:22" ht="18" customHeight="1">
      <c r="A94"/>
      <c r="B94" s="43">
        <f>SUM(B91:B93)</f>
        <v>0</v>
      </c>
      <c r="C94" s="26"/>
      <c r="D94" s="26"/>
      <c r="E94" s="26"/>
      <c r="F94" s="26"/>
      <c r="G94" s="26"/>
      <c r="H94" s="26"/>
      <c r="I94" s="26"/>
      <c r="J94" s="1"/>
    </row>
    <row r="95" spans="1:22" ht="18" customHeight="1">
      <c r="A95"/>
      <c r="B95"/>
      <c r="C95"/>
      <c r="D95"/>
      <c r="E95"/>
      <c r="F95"/>
      <c r="G95"/>
      <c r="H95"/>
      <c r="I95"/>
      <c r="J95" s="1"/>
    </row>
    <row r="96" spans="1:22" ht="18" customHeight="1">
      <c r="A96" s="221" t="s">
        <v>10</v>
      </c>
      <c r="B96"/>
      <c r="C96"/>
      <c r="D96"/>
      <c r="E96"/>
      <c r="F96"/>
      <c r="G96"/>
      <c r="H96"/>
      <c r="I96"/>
      <c r="J96" s="1"/>
    </row>
    <row r="97" spans="1:19" ht="18" customHeight="1">
      <c r="A97"/>
      <c r="B97"/>
      <c r="C97"/>
      <c r="D97"/>
      <c r="E97"/>
      <c r="F97"/>
      <c r="G97"/>
      <c r="H97"/>
      <c r="I97"/>
      <c r="J97" s="1"/>
    </row>
    <row r="98" spans="1:19" ht="18" customHeight="1">
      <c r="A98" t="s">
        <v>11</v>
      </c>
      <c r="B98"/>
      <c r="C98" s="233">
        <v>0</v>
      </c>
      <c r="D98"/>
      <c r="E98"/>
      <c r="F98"/>
      <c r="G98"/>
      <c r="H98"/>
      <c r="I98"/>
      <c r="J98" s="1"/>
    </row>
    <row r="99" spans="1:19" ht="18" customHeight="1">
      <c r="A99" t="s">
        <v>425</v>
      </c>
      <c r="B99"/>
      <c r="C99" s="233">
        <v>0</v>
      </c>
      <c r="D99"/>
      <c r="E99"/>
      <c r="F99"/>
      <c r="G99"/>
      <c r="H99"/>
      <c r="I99"/>
      <c r="J99" s="1"/>
    </row>
    <row r="100" spans="1:19" ht="18" customHeight="1">
      <c r="A100" t="s">
        <v>66</v>
      </c>
      <c r="B100"/>
      <c r="C100" s="234">
        <v>0</v>
      </c>
      <c r="D100"/>
      <c r="E100"/>
      <c r="F100"/>
      <c r="G100"/>
      <c r="H100"/>
      <c r="I100"/>
      <c r="J100" s="1"/>
    </row>
    <row r="101" spans="1:19" ht="18" customHeight="1">
      <c r="A101"/>
      <c r="B101"/>
      <c r="C101"/>
      <c r="D101"/>
      <c r="E101"/>
      <c r="F101"/>
      <c r="G101"/>
      <c r="H101"/>
      <c r="I101"/>
      <c r="J101" s="1"/>
    </row>
    <row r="102" spans="1:19" ht="18" customHeight="1">
      <c r="A102"/>
      <c r="B102"/>
      <c r="C102"/>
      <c r="D102"/>
      <c r="E102"/>
      <c r="F102"/>
      <c r="G102"/>
      <c r="H102"/>
      <c r="I102"/>
      <c r="J102" s="1"/>
    </row>
    <row r="103" spans="1:19" ht="18" customHeight="1">
      <c r="A103" s="221" t="s">
        <v>12</v>
      </c>
      <c r="B103"/>
      <c r="C103"/>
      <c r="D103"/>
      <c r="E103"/>
      <c r="F103"/>
      <c r="G103"/>
      <c r="H103"/>
      <c r="I103"/>
      <c r="J103" s="1"/>
    </row>
    <row r="104" spans="1:19" ht="18" customHeight="1">
      <c r="A104"/>
      <c r="B104"/>
      <c r="C104"/>
      <c r="D104"/>
      <c r="E104"/>
      <c r="F104"/>
      <c r="G104"/>
      <c r="H104"/>
      <c r="I104"/>
      <c r="J104" s="1"/>
    </row>
    <row r="105" spans="1:19" ht="18" customHeight="1">
      <c r="A105" t="s">
        <v>13</v>
      </c>
      <c r="B105"/>
      <c r="C105" s="27">
        <v>0.28999999999999998</v>
      </c>
      <c r="D105"/>
      <c r="E105"/>
      <c r="F105"/>
      <c r="G105"/>
      <c r="H105"/>
      <c r="I105"/>
      <c r="J105" s="1"/>
    </row>
    <row r="106" spans="1:19" ht="18" customHeight="1">
      <c r="A106" t="s">
        <v>14</v>
      </c>
      <c r="B106"/>
      <c r="C106" s="27">
        <v>1.2500000000000001E-2</v>
      </c>
      <c r="D106"/>
      <c r="E106"/>
      <c r="F106"/>
      <c r="G106"/>
      <c r="H106"/>
      <c r="I106"/>
      <c r="J106" s="1"/>
    </row>
    <row r="107" spans="1:19" ht="18" customHeight="1">
      <c r="A107" t="s">
        <v>15</v>
      </c>
      <c r="B107"/>
      <c r="C107" s="27">
        <v>0.17</v>
      </c>
      <c r="D107"/>
      <c r="E107"/>
      <c r="F107"/>
      <c r="G107"/>
      <c r="H107"/>
      <c r="I107"/>
      <c r="J107" s="1"/>
    </row>
    <row r="108" spans="1:19" ht="18" customHeight="1">
      <c r="A108" t="s">
        <v>35</v>
      </c>
      <c r="C108" s="233" t="s">
        <v>36</v>
      </c>
      <c r="D108"/>
      <c r="E108"/>
      <c r="F108"/>
      <c r="G108"/>
      <c r="H108"/>
      <c r="I108"/>
      <c r="J108" s="1"/>
    </row>
    <row r="109" spans="1:19" ht="18" customHeight="1">
      <c r="A109"/>
      <c r="B109"/>
      <c r="C109"/>
      <c r="D109"/>
      <c r="E109"/>
      <c r="F109"/>
      <c r="G109"/>
      <c r="H109"/>
      <c r="I109"/>
      <c r="J109" s="1"/>
    </row>
    <row r="110" spans="1:19" ht="18" customHeight="1">
      <c r="A110"/>
      <c r="B110"/>
      <c r="C110"/>
      <c r="D110"/>
      <c r="E110"/>
      <c r="F110"/>
      <c r="G110"/>
      <c r="H110"/>
      <c r="I110"/>
      <c r="J110" s="1"/>
    </row>
    <row r="111" spans="1:19" ht="18" customHeight="1">
      <c r="A111"/>
      <c r="B111"/>
      <c r="C111"/>
      <c r="D111"/>
      <c r="E111"/>
      <c r="F111"/>
      <c r="G111"/>
      <c r="H111"/>
      <c r="I111"/>
      <c r="J111" s="1"/>
    </row>
    <row r="112" spans="1:19" ht="18" customHeight="1">
      <c r="A112"/>
      <c r="B112"/>
      <c r="C112"/>
      <c r="D112"/>
      <c r="E112"/>
      <c r="F112"/>
      <c r="G112"/>
      <c r="H112"/>
      <c r="I112"/>
      <c r="J112" s="1"/>
      <c r="S112" s="20"/>
    </row>
    <row r="113" spans="1:19" ht="18" customHeight="1">
      <c r="A113"/>
      <c r="B113"/>
      <c r="C113"/>
      <c r="D113"/>
      <c r="E113"/>
      <c r="F113"/>
      <c r="G113"/>
      <c r="H113"/>
      <c r="I113"/>
      <c r="J113" s="1"/>
      <c r="S113" s="20"/>
    </row>
    <row r="114" spans="1:19" ht="18" customHeight="1">
      <c r="A114"/>
      <c r="B114"/>
      <c r="C114"/>
      <c r="D114"/>
      <c r="E114"/>
      <c r="F114"/>
      <c r="G114"/>
      <c r="H114"/>
      <c r="I114"/>
      <c r="J114" s="1"/>
      <c r="S114" s="20"/>
    </row>
    <row r="115" spans="1:19" ht="18" customHeight="1">
      <c r="A115"/>
      <c r="B115"/>
      <c r="C115"/>
      <c r="D115"/>
      <c r="E115"/>
      <c r="F115"/>
      <c r="G115"/>
      <c r="H115"/>
      <c r="I115"/>
      <c r="J115" s="1"/>
      <c r="S115" s="20"/>
    </row>
    <row r="116" spans="1:19" ht="18" customHeight="1">
      <c r="A116"/>
      <c r="B116"/>
      <c r="C116"/>
      <c r="D116"/>
      <c r="E116"/>
      <c r="F116"/>
      <c r="G116"/>
      <c r="H116"/>
      <c r="I116"/>
      <c r="J116" s="1"/>
      <c r="S116" s="20"/>
    </row>
    <row r="117" spans="1:19" ht="18" customHeight="1">
      <c r="A117"/>
      <c r="B117"/>
      <c r="C117"/>
      <c r="D117"/>
      <c r="E117"/>
      <c r="F117"/>
      <c r="G117"/>
      <c r="H117"/>
      <c r="I117"/>
      <c r="J117" s="1"/>
    </row>
    <row r="118" spans="1:19" ht="18" customHeight="1">
      <c r="A118"/>
      <c r="B118"/>
      <c r="C118"/>
      <c r="D118"/>
      <c r="E118"/>
      <c r="F118"/>
      <c r="G118"/>
      <c r="H118"/>
      <c r="I118"/>
      <c r="J118" s="1"/>
    </row>
    <row r="119" spans="1:19" ht="18" customHeight="1">
      <c r="A119"/>
      <c r="B119"/>
      <c r="C119"/>
      <c r="D119"/>
      <c r="E119"/>
      <c r="F119"/>
      <c r="G119"/>
      <c r="H119"/>
      <c r="I119"/>
      <c r="J119" s="1"/>
    </row>
    <row r="120" spans="1:19" ht="18" customHeight="1">
      <c r="A120"/>
      <c r="B120"/>
      <c r="C120"/>
      <c r="D120"/>
      <c r="E120"/>
      <c r="F120"/>
      <c r="G120"/>
      <c r="H120"/>
      <c r="I120"/>
      <c r="J120" s="1"/>
    </row>
    <row r="121" spans="1:19" ht="18" customHeight="1">
      <c r="A121"/>
      <c r="B121"/>
      <c r="C121"/>
      <c r="D121"/>
      <c r="E121"/>
      <c r="F121"/>
      <c r="G121"/>
      <c r="H121"/>
      <c r="I121"/>
      <c r="J121" s="1"/>
    </row>
    <row r="122" spans="1:19" ht="18" customHeight="1">
      <c r="A122"/>
      <c r="B122"/>
      <c r="C122"/>
      <c r="D122"/>
      <c r="E122"/>
      <c r="F122"/>
      <c r="G122"/>
      <c r="H122"/>
      <c r="I122"/>
      <c r="J122" s="1"/>
    </row>
    <row r="123" spans="1:19" ht="18" customHeight="1">
      <c r="A123"/>
      <c r="B123"/>
      <c r="C123"/>
      <c r="D123"/>
      <c r="E123"/>
      <c r="F123"/>
      <c r="G123"/>
      <c r="H123"/>
      <c r="I123"/>
      <c r="J123" s="1"/>
    </row>
    <row r="124" spans="1:19" ht="18" customHeight="1">
      <c r="A124"/>
      <c r="B124"/>
      <c r="C124"/>
      <c r="D124"/>
      <c r="E124"/>
      <c r="F124"/>
      <c r="G124"/>
      <c r="H124"/>
      <c r="I124"/>
      <c r="J124" s="1"/>
    </row>
    <row r="125" spans="1:19" ht="18" customHeight="1">
      <c r="A125"/>
      <c r="B125"/>
      <c r="C125"/>
      <c r="D125"/>
      <c r="E125"/>
      <c r="F125"/>
      <c r="G125"/>
      <c r="H125"/>
      <c r="I125"/>
      <c r="J125" s="1"/>
    </row>
    <row r="126" spans="1:19" ht="18" customHeight="1">
      <c r="A126"/>
      <c r="B126"/>
      <c r="C126"/>
      <c r="D126"/>
      <c r="E126"/>
      <c r="F126"/>
      <c r="G126"/>
      <c r="H126"/>
      <c r="I126"/>
      <c r="J126" s="1"/>
    </row>
    <row r="127" spans="1:19" ht="18" customHeight="1">
      <c r="A127"/>
      <c r="B127"/>
      <c r="C127"/>
      <c r="D127"/>
      <c r="E127"/>
      <c r="F127"/>
      <c r="G127"/>
      <c r="H127"/>
      <c r="I127"/>
      <c r="J127" s="1"/>
    </row>
    <row r="128" spans="1:19" ht="18" customHeight="1">
      <c r="A128"/>
      <c r="B128"/>
      <c r="C128"/>
      <c r="D128"/>
      <c r="E128"/>
      <c r="F128"/>
      <c r="G128"/>
      <c r="H128"/>
      <c r="I128"/>
      <c r="J128" s="1"/>
    </row>
    <row r="129" spans="1:14" ht="18" customHeight="1">
      <c r="A129"/>
      <c r="B129"/>
      <c r="C129"/>
      <c r="D129"/>
      <c r="E129"/>
      <c r="F129"/>
      <c r="G129"/>
      <c r="H129"/>
      <c r="I129"/>
      <c r="J129" s="1"/>
    </row>
    <row r="130" spans="1:14" ht="18" customHeight="1">
      <c r="A130"/>
      <c r="B130"/>
      <c r="C130"/>
      <c r="D130"/>
      <c r="E130"/>
      <c r="F130"/>
      <c r="G130"/>
      <c r="H130"/>
      <c r="I130"/>
      <c r="J130" s="1"/>
    </row>
    <row r="131" spans="1:14" ht="18" customHeight="1">
      <c r="A131"/>
      <c r="B131"/>
      <c r="C131"/>
      <c r="D131"/>
      <c r="E131"/>
      <c r="F131"/>
      <c r="G131"/>
      <c r="H131"/>
      <c r="I131"/>
      <c r="J131" s="1"/>
    </row>
    <row r="132" spans="1:14" ht="18" customHeight="1">
      <c r="A132"/>
      <c r="B132"/>
      <c r="C132"/>
      <c r="D132"/>
      <c r="E132"/>
      <c r="F132"/>
      <c r="G132"/>
      <c r="H132"/>
      <c r="I132"/>
      <c r="J132" s="1"/>
    </row>
    <row r="133" spans="1:14" ht="18" customHeight="1">
      <c r="A133"/>
      <c r="B133"/>
      <c r="C133"/>
      <c r="D133"/>
      <c r="E133"/>
      <c r="F133"/>
      <c r="G133"/>
      <c r="H133"/>
      <c r="I133"/>
      <c r="J133" s="1"/>
    </row>
    <row r="134" spans="1:14" ht="18" customHeight="1">
      <c r="A134"/>
      <c r="B134"/>
      <c r="C134"/>
      <c r="D134"/>
      <c r="E134"/>
      <c r="F134"/>
      <c r="G134"/>
      <c r="H134"/>
      <c r="I134"/>
      <c r="J134" s="1"/>
    </row>
    <row r="135" spans="1:14" ht="18" customHeight="1">
      <c r="A135"/>
      <c r="B135"/>
      <c r="C135"/>
      <c r="D135"/>
      <c r="E135"/>
      <c r="F135"/>
      <c r="G135"/>
      <c r="H135"/>
      <c r="I135"/>
      <c r="J135" s="1"/>
    </row>
    <row r="136" spans="1:14" ht="18" customHeight="1">
      <c r="A136"/>
      <c r="B136"/>
      <c r="C136"/>
      <c r="D136"/>
      <c r="E136"/>
      <c r="F136"/>
      <c r="G136"/>
      <c r="H136"/>
      <c r="I136"/>
      <c r="J136" s="1"/>
    </row>
    <row r="137" spans="1:14" ht="18" customHeight="1">
      <c r="A137"/>
      <c r="B137"/>
      <c r="C137"/>
      <c r="D137"/>
      <c r="E137"/>
      <c r="F137"/>
      <c r="G137"/>
      <c r="H137"/>
      <c r="I137"/>
      <c r="J137" s="1"/>
      <c r="L137" s="4"/>
      <c r="N137" s="21"/>
    </row>
    <row r="138" spans="1:14" ht="18" customHeight="1">
      <c r="A138"/>
      <c r="B138"/>
      <c r="C138"/>
      <c r="D138"/>
      <c r="E138"/>
      <c r="F138"/>
      <c r="G138"/>
      <c r="H138"/>
      <c r="I138"/>
      <c r="J138" s="1"/>
      <c r="L138" s="4"/>
      <c r="N138" s="21"/>
    </row>
    <row r="139" spans="1:14" ht="18" customHeight="1">
      <c r="A139"/>
      <c r="B139"/>
      <c r="C139"/>
      <c r="D139"/>
      <c r="E139"/>
      <c r="F139"/>
      <c r="G139"/>
      <c r="H139"/>
      <c r="I139"/>
      <c r="J139" s="1"/>
      <c r="L139" s="4"/>
      <c r="N139" s="21"/>
    </row>
    <row r="140" spans="1:14" ht="18" customHeight="1">
      <c r="A140"/>
      <c r="B140"/>
      <c r="C140"/>
      <c r="D140"/>
      <c r="E140"/>
      <c r="F140"/>
      <c r="G140"/>
      <c r="H140"/>
      <c r="I140"/>
      <c r="J140" s="1"/>
      <c r="L140" s="4"/>
      <c r="N140" s="21"/>
    </row>
    <row r="141" spans="1:14" ht="18" customHeight="1">
      <c r="A141"/>
      <c r="B141"/>
      <c r="C141"/>
      <c r="D141"/>
      <c r="E141"/>
      <c r="F141"/>
      <c r="G141"/>
      <c r="H141"/>
      <c r="I141"/>
      <c r="J141" s="1"/>
      <c r="L141" s="4"/>
      <c r="N141" s="21"/>
    </row>
    <row r="142" spans="1:14" ht="18" customHeight="1">
      <c r="A142"/>
      <c r="B142"/>
      <c r="C142"/>
      <c r="D142"/>
      <c r="E142"/>
      <c r="F142"/>
      <c r="G142"/>
      <c r="H142"/>
      <c r="I142"/>
      <c r="J142" s="1"/>
      <c r="L142" s="4"/>
      <c r="N142" s="21"/>
    </row>
    <row r="143" spans="1:14" ht="18" customHeight="1">
      <c r="A143"/>
      <c r="B143"/>
      <c r="C143"/>
      <c r="D143"/>
      <c r="E143"/>
      <c r="F143"/>
      <c r="G143"/>
      <c r="H143"/>
      <c r="I143"/>
      <c r="J143" s="1"/>
      <c r="L143" s="4"/>
      <c r="N143" s="21"/>
    </row>
    <row r="144" spans="1:14" ht="18" customHeight="1">
      <c r="A144"/>
      <c r="B144"/>
      <c r="C144"/>
      <c r="D144"/>
      <c r="E144"/>
      <c r="F144"/>
      <c r="G144"/>
      <c r="H144"/>
      <c r="I144"/>
      <c r="J144" s="1"/>
      <c r="L144" s="4"/>
      <c r="N144" s="21"/>
    </row>
    <row r="145" spans="1:10" ht="18" customHeight="1">
      <c r="A145"/>
      <c r="B145"/>
      <c r="C145"/>
      <c r="D145"/>
      <c r="E145"/>
      <c r="F145"/>
      <c r="G145"/>
      <c r="H145"/>
      <c r="I145"/>
      <c r="J145" s="1"/>
    </row>
    <row r="146" spans="1:10" ht="18" customHeight="1">
      <c r="A146"/>
      <c r="B146"/>
      <c r="C146"/>
      <c r="D146"/>
      <c r="E146"/>
      <c r="F146"/>
      <c r="G146"/>
      <c r="H146"/>
      <c r="I146"/>
      <c r="J146" s="1"/>
    </row>
    <row r="147" spans="1:10" ht="18" customHeight="1">
      <c r="A147"/>
      <c r="B147"/>
      <c r="C147"/>
      <c r="D147"/>
      <c r="E147"/>
      <c r="F147"/>
      <c r="G147"/>
      <c r="H147"/>
      <c r="I147"/>
      <c r="J147" s="1"/>
    </row>
    <row r="148" spans="1:10" ht="18" customHeight="1">
      <c r="A148"/>
      <c r="B148"/>
      <c r="C148"/>
      <c r="D148"/>
      <c r="E148"/>
      <c r="F148"/>
      <c r="G148"/>
      <c r="H148"/>
      <c r="I148"/>
      <c r="J148" s="1"/>
    </row>
    <row r="149" spans="1:10" ht="18" customHeight="1">
      <c r="A149"/>
      <c r="B149"/>
      <c r="C149"/>
      <c r="D149"/>
      <c r="E149"/>
      <c r="F149"/>
      <c r="G149"/>
      <c r="H149"/>
      <c r="I149"/>
      <c r="J149" s="1"/>
    </row>
    <row r="150" spans="1:10" ht="18" customHeight="1">
      <c r="A150"/>
      <c r="B150"/>
      <c r="C150"/>
      <c r="D150"/>
      <c r="E150"/>
      <c r="F150"/>
      <c r="G150"/>
      <c r="H150"/>
      <c r="I150"/>
      <c r="J150" s="1"/>
    </row>
    <row r="151" spans="1:10" ht="18" customHeight="1">
      <c r="A151"/>
      <c r="B151"/>
      <c r="C151"/>
      <c r="D151"/>
      <c r="E151"/>
      <c r="F151"/>
      <c r="G151"/>
      <c r="H151"/>
      <c r="I151"/>
      <c r="J151" s="1"/>
    </row>
    <row r="152" spans="1:10" ht="18" customHeight="1">
      <c r="A152"/>
      <c r="B152"/>
      <c r="C152"/>
      <c r="D152"/>
      <c r="E152"/>
      <c r="F152"/>
      <c r="G152"/>
      <c r="H152"/>
      <c r="I152"/>
      <c r="J152" s="1"/>
    </row>
    <row r="153" spans="1:10" ht="18" customHeight="1">
      <c r="A153"/>
      <c r="B153"/>
      <c r="C153"/>
      <c r="D153"/>
      <c r="E153"/>
      <c r="F153"/>
      <c r="G153"/>
      <c r="H153"/>
      <c r="I153"/>
      <c r="J153" s="1"/>
    </row>
    <row r="154" spans="1:10" ht="18" customHeight="1">
      <c r="A154"/>
      <c r="B154"/>
      <c r="C154"/>
      <c r="D154"/>
      <c r="E154"/>
      <c r="F154"/>
      <c r="G154"/>
      <c r="H154"/>
      <c r="I154"/>
      <c r="J154" s="1"/>
    </row>
    <row r="155" spans="1:10" ht="18" customHeight="1">
      <c r="A155" s="4"/>
      <c r="B155" s="4"/>
      <c r="C155" s="4"/>
      <c r="D155" s="4"/>
      <c r="J155" s="1"/>
    </row>
    <row r="156" spans="1:10" ht="18" customHeight="1">
      <c r="A156" s="4"/>
      <c r="B156" s="4"/>
      <c r="C156" s="4"/>
      <c r="D156" s="4"/>
      <c r="J156" s="1"/>
    </row>
    <row r="157" spans="1:10" ht="18" customHeight="1">
      <c r="D157" s="4"/>
      <c r="E157" s="18"/>
      <c r="F157" s="18"/>
      <c r="G157" s="18"/>
      <c r="H157" s="18"/>
      <c r="I157" s="18"/>
      <c r="J157" s="1"/>
    </row>
    <row r="158" spans="1:10" ht="18" customHeight="1">
      <c r="D158" s="4"/>
      <c r="E158" s="4"/>
      <c r="F158" s="4"/>
      <c r="G158" s="4"/>
      <c r="H158" s="4"/>
      <c r="I158" s="4"/>
      <c r="J158" s="1"/>
    </row>
  </sheetData>
  <mergeCells count="3">
    <mergeCell ref="E13:E14"/>
    <mergeCell ref="E7:E8"/>
    <mergeCell ref="E10:E11"/>
  </mergeCells>
  <dataValidations count="1">
    <dataValidation type="list" allowBlank="1" showInputMessage="1" showErrorMessage="1" sqref="C108" xr:uid="{00000000-0002-0000-0200-000000000000}">
      <formula1>"Yes, No"</formula1>
    </dataValidation>
  </dataValidations>
  <printOptions horizontalCentered="1"/>
  <pageMargins left="0.2" right="0.2" top="0.5" bottom="0.2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0"/>
  <sheetViews>
    <sheetView showGridLines="0" zoomScale="78" workbookViewId="0">
      <selection activeCell="C26" sqref="C26"/>
    </sheetView>
  </sheetViews>
  <sheetFormatPr defaultRowHeight="14.4"/>
  <cols>
    <col min="1" max="1" width="7.44140625" customWidth="1"/>
    <col min="2" max="2" width="55.44140625" customWidth="1"/>
    <col min="3" max="3" width="22.33203125" customWidth="1"/>
  </cols>
  <sheetData>
    <row r="2" spans="1:6" ht="21">
      <c r="A2" s="263" t="s">
        <v>412</v>
      </c>
      <c r="B2" s="263"/>
      <c r="C2" s="263"/>
      <c r="D2" s="78"/>
      <c r="E2" s="78"/>
      <c r="F2" s="78"/>
    </row>
    <row r="3" spans="1:6" ht="21">
      <c r="A3" s="263" t="s">
        <v>112</v>
      </c>
      <c r="B3" s="263"/>
      <c r="C3" s="263"/>
      <c r="D3" s="78"/>
      <c r="E3" s="78"/>
      <c r="F3" s="78"/>
    </row>
    <row r="4" spans="1:6" ht="30.75" customHeight="1">
      <c r="A4" s="264" t="s">
        <v>430</v>
      </c>
      <c r="B4" s="264"/>
      <c r="C4" s="264"/>
    </row>
    <row r="6" spans="1:6" ht="43.5" customHeight="1">
      <c r="A6" s="205" t="s">
        <v>431</v>
      </c>
      <c r="B6" s="205" t="s">
        <v>113</v>
      </c>
      <c r="C6" s="205" t="s">
        <v>114</v>
      </c>
    </row>
    <row r="7" spans="1:6" ht="24.9" customHeight="1">
      <c r="A7" s="199">
        <v>1</v>
      </c>
      <c r="B7" s="64" t="s">
        <v>435</v>
      </c>
      <c r="C7" s="200">
        <f>'Component 1- Electric Work'!F62</f>
        <v>0</v>
      </c>
    </row>
    <row r="8" spans="1:6" ht="24.9" customHeight="1">
      <c r="A8" s="199">
        <v>2</v>
      </c>
      <c r="B8" s="64" t="s">
        <v>436</v>
      </c>
      <c r="C8" s="200">
        <f>'Component 2- Plumbing Work'!F31</f>
        <v>0</v>
      </c>
    </row>
    <row r="9" spans="1:6" ht="24.9" customHeight="1">
      <c r="A9" s="199">
        <v>3</v>
      </c>
      <c r="B9" s="64" t="s">
        <v>437</v>
      </c>
      <c r="C9" s="200">
        <f>'Component 3- STP '!F248</f>
        <v>0</v>
      </c>
    </row>
    <row r="10" spans="1:6" ht="24.9" customHeight="1">
      <c r="A10" s="64"/>
      <c r="B10" s="201" t="s">
        <v>118</v>
      </c>
      <c r="C10" s="202">
        <f>SUM(C7:C9)</f>
        <v>0</v>
      </c>
    </row>
  </sheetData>
  <mergeCells count="3">
    <mergeCell ref="A2:C2"/>
    <mergeCell ref="A3:C3"/>
    <mergeCell ref="A4:C4"/>
  </mergeCells>
  <printOptions horizontalCentered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62"/>
  <sheetViews>
    <sheetView showGridLines="0" zoomScaleNormal="100" workbookViewId="0">
      <selection activeCell="A3" sqref="A3:F3"/>
    </sheetView>
  </sheetViews>
  <sheetFormatPr defaultRowHeight="14.4"/>
  <cols>
    <col min="1" max="1" width="4.5546875" customWidth="1"/>
    <col min="2" max="2" width="56.33203125" customWidth="1"/>
    <col min="3" max="3" width="9.5546875" customWidth="1"/>
    <col min="4" max="4" width="10.109375" customWidth="1"/>
    <col min="5" max="5" width="11.44140625" customWidth="1"/>
    <col min="6" max="6" width="11.5546875" bestFit="1" customWidth="1"/>
  </cols>
  <sheetData>
    <row r="2" spans="1:6" ht="21">
      <c r="A2" s="265" t="s">
        <v>412</v>
      </c>
      <c r="B2" s="265"/>
      <c r="C2" s="265"/>
      <c r="D2" s="265"/>
      <c r="E2" s="265"/>
      <c r="F2" s="265"/>
    </row>
    <row r="3" spans="1:6" ht="21">
      <c r="A3" s="265" t="s">
        <v>438</v>
      </c>
      <c r="B3" s="265"/>
      <c r="C3" s="265"/>
      <c r="D3" s="265"/>
      <c r="E3" s="265"/>
      <c r="F3" s="265"/>
    </row>
    <row r="4" spans="1:6" ht="15.75" customHeight="1">
      <c r="A4" s="79"/>
      <c r="B4" s="79"/>
      <c r="C4" s="79"/>
      <c r="D4" s="79"/>
      <c r="E4" s="79"/>
      <c r="F4" s="79"/>
    </row>
    <row r="5" spans="1:6" ht="18">
      <c r="A5" s="266" t="s">
        <v>119</v>
      </c>
      <c r="B5" s="266"/>
      <c r="C5" s="266"/>
      <c r="D5" s="266"/>
      <c r="E5" s="266"/>
      <c r="F5" s="266"/>
    </row>
    <row r="6" spans="1:6" ht="9.75" customHeight="1">
      <c r="A6" s="80"/>
      <c r="B6" s="80"/>
      <c r="C6" s="80"/>
      <c r="D6" s="80"/>
      <c r="E6" s="80"/>
      <c r="F6" s="80"/>
    </row>
    <row r="7" spans="1:6" ht="18">
      <c r="A7" s="267" t="s">
        <v>120</v>
      </c>
      <c r="B7" s="267"/>
      <c r="C7" s="267"/>
      <c r="D7" s="267"/>
      <c r="E7" s="267"/>
      <c r="F7" s="267"/>
    </row>
    <row r="9" spans="1:6" ht="31.2">
      <c r="A9" s="203" t="s">
        <v>121</v>
      </c>
      <c r="B9" s="204" t="s">
        <v>122</v>
      </c>
      <c r="C9" s="204" t="s">
        <v>24</v>
      </c>
      <c r="D9" s="204" t="s">
        <v>123</v>
      </c>
      <c r="E9" s="204" t="s">
        <v>124</v>
      </c>
      <c r="F9" s="203" t="s">
        <v>114</v>
      </c>
    </row>
    <row r="10" spans="1:6" ht="43.2">
      <c r="A10" s="83">
        <v>1</v>
      </c>
      <c r="B10" s="84" t="s">
        <v>125</v>
      </c>
      <c r="C10" s="85" t="s">
        <v>126</v>
      </c>
      <c r="D10" s="86">
        <v>120</v>
      </c>
      <c r="E10" s="235">
        <v>0</v>
      </c>
      <c r="F10" s="45">
        <f>E10*D10</f>
        <v>0</v>
      </c>
    </row>
    <row r="11" spans="1:6">
      <c r="A11" s="88"/>
      <c r="B11" s="89"/>
      <c r="C11" s="85"/>
      <c r="D11" s="86"/>
      <c r="E11" s="87"/>
      <c r="F11" s="45"/>
    </row>
    <row r="12" spans="1:6" ht="28.8">
      <c r="A12" s="83">
        <v>2</v>
      </c>
      <c r="B12" s="84" t="s">
        <v>127</v>
      </c>
      <c r="C12" s="85" t="s">
        <v>126</v>
      </c>
      <c r="D12" s="86">
        <v>130</v>
      </c>
      <c r="E12" s="235">
        <v>0</v>
      </c>
      <c r="F12" s="45">
        <f t="shared" ref="F12:F61" si="0">E12*D12</f>
        <v>0</v>
      </c>
    </row>
    <row r="13" spans="1:6">
      <c r="A13" s="88"/>
      <c r="B13" s="89"/>
      <c r="C13" s="85"/>
      <c r="D13" s="86"/>
      <c r="E13" s="87"/>
      <c r="F13" s="45"/>
    </row>
    <row r="14" spans="1:6" ht="43.2">
      <c r="A14" s="83">
        <v>3</v>
      </c>
      <c r="B14" s="84" t="s">
        <v>128</v>
      </c>
      <c r="C14" s="85"/>
      <c r="D14" s="86"/>
      <c r="E14" s="87"/>
      <c r="F14" s="45"/>
    </row>
    <row r="15" spans="1:6">
      <c r="A15" s="88" t="s">
        <v>129</v>
      </c>
      <c r="B15" s="90" t="s">
        <v>130</v>
      </c>
      <c r="C15" s="85" t="s">
        <v>131</v>
      </c>
      <c r="D15" s="86">
        <v>310</v>
      </c>
      <c r="E15" s="235">
        <v>0</v>
      </c>
      <c r="F15" s="45">
        <f t="shared" si="0"/>
        <v>0</v>
      </c>
    </row>
    <row r="16" spans="1:6">
      <c r="A16" s="88" t="s">
        <v>132</v>
      </c>
      <c r="B16" s="91" t="s">
        <v>133</v>
      </c>
      <c r="C16" s="85" t="s">
        <v>131</v>
      </c>
      <c r="D16" s="86">
        <v>135</v>
      </c>
      <c r="E16" s="235">
        <v>0</v>
      </c>
      <c r="F16" s="45">
        <f t="shared" si="0"/>
        <v>0</v>
      </c>
    </row>
    <row r="17" spans="1:6">
      <c r="A17" s="88"/>
      <c r="B17" s="91"/>
      <c r="C17" s="85"/>
      <c r="D17" s="86"/>
      <c r="E17" s="87"/>
      <c r="F17" s="45"/>
    </row>
    <row r="18" spans="1:6" ht="43.2">
      <c r="A18" s="83">
        <v>4</v>
      </c>
      <c r="B18" s="84" t="s">
        <v>134</v>
      </c>
      <c r="C18" s="92"/>
      <c r="D18" s="93"/>
      <c r="E18" s="94"/>
      <c r="F18" s="45"/>
    </row>
    <row r="19" spans="1:6">
      <c r="A19" s="88" t="s">
        <v>129</v>
      </c>
      <c r="B19" s="91" t="s">
        <v>135</v>
      </c>
      <c r="C19" s="92" t="s">
        <v>131</v>
      </c>
      <c r="D19" s="86">
        <v>625</v>
      </c>
      <c r="E19" s="235">
        <v>0</v>
      </c>
      <c r="F19" s="45">
        <f t="shared" si="0"/>
        <v>0</v>
      </c>
    </row>
    <row r="20" spans="1:6">
      <c r="A20" s="88" t="s">
        <v>132</v>
      </c>
      <c r="B20" s="90" t="s">
        <v>136</v>
      </c>
      <c r="C20" s="92" t="s">
        <v>131</v>
      </c>
      <c r="D20" s="86">
        <v>395</v>
      </c>
      <c r="E20" s="235">
        <v>0</v>
      </c>
      <c r="F20" s="45">
        <f t="shared" si="0"/>
        <v>0</v>
      </c>
    </row>
    <row r="21" spans="1:6">
      <c r="A21" s="88" t="s">
        <v>137</v>
      </c>
      <c r="B21" s="90" t="s">
        <v>138</v>
      </c>
      <c r="C21" s="92" t="s">
        <v>131</v>
      </c>
      <c r="D21" s="86">
        <v>475</v>
      </c>
      <c r="E21" s="235">
        <v>0</v>
      </c>
      <c r="F21" s="45">
        <f t="shared" si="0"/>
        <v>0</v>
      </c>
    </row>
    <row r="22" spans="1:6">
      <c r="A22" s="88" t="s">
        <v>139</v>
      </c>
      <c r="B22" s="90" t="s">
        <v>140</v>
      </c>
      <c r="C22" s="92" t="s">
        <v>131</v>
      </c>
      <c r="D22" s="86">
        <v>295</v>
      </c>
      <c r="E22" s="235">
        <v>0</v>
      </c>
      <c r="F22" s="45">
        <f t="shared" si="0"/>
        <v>0</v>
      </c>
    </row>
    <row r="23" spans="1:6">
      <c r="A23" s="88"/>
      <c r="B23" s="90"/>
      <c r="C23" s="92"/>
      <c r="D23" s="86"/>
      <c r="E23" s="87"/>
      <c r="F23" s="45"/>
    </row>
    <row r="24" spans="1:6">
      <c r="A24" s="83">
        <v>5</v>
      </c>
      <c r="B24" s="84" t="s">
        <v>141</v>
      </c>
      <c r="C24" s="92"/>
      <c r="D24" s="93"/>
      <c r="E24" s="94"/>
      <c r="F24" s="45"/>
    </row>
    <row r="25" spans="1:6">
      <c r="A25" s="88" t="s">
        <v>129</v>
      </c>
      <c r="B25" s="91" t="s">
        <v>142</v>
      </c>
      <c r="C25" s="85" t="s">
        <v>143</v>
      </c>
      <c r="D25" s="95">
        <v>350</v>
      </c>
      <c r="E25" s="235">
        <v>0</v>
      </c>
      <c r="F25" s="45">
        <f t="shared" si="0"/>
        <v>0</v>
      </c>
    </row>
    <row r="26" spans="1:6">
      <c r="A26" s="88" t="s">
        <v>132</v>
      </c>
      <c r="B26" s="91" t="s">
        <v>144</v>
      </c>
      <c r="C26" s="85" t="s">
        <v>143</v>
      </c>
      <c r="D26" s="95">
        <v>315</v>
      </c>
      <c r="E26" s="235">
        <v>0</v>
      </c>
      <c r="F26" s="45">
        <f t="shared" si="0"/>
        <v>0</v>
      </c>
    </row>
    <row r="27" spans="1:6">
      <c r="A27" s="88" t="s">
        <v>139</v>
      </c>
      <c r="B27" s="91" t="s">
        <v>145</v>
      </c>
      <c r="C27" s="85" t="s">
        <v>143</v>
      </c>
      <c r="D27" s="95">
        <v>48</v>
      </c>
      <c r="E27" s="236">
        <v>0</v>
      </c>
      <c r="F27" s="45">
        <f t="shared" si="0"/>
        <v>0</v>
      </c>
    </row>
    <row r="28" spans="1:6">
      <c r="A28" s="88" t="s">
        <v>146</v>
      </c>
      <c r="B28" s="91" t="s">
        <v>147</v>
      </c>
      <c r="C28" s="85" t="s">
        <v>143</v>
      </c>
      <c r="D28" s="95">
        <v>42</v>
      </c>
      <c r="E28" s="236">
        <v>0</v>
      </c>
      <c r="F28" s="45">
        <f t="shared" si="0"/>
        <v>0</v>
      </c>
    </row>
    <row r="29" spans="1:6">
      <c r="A29" s="88"/>
      <c r="B29" s="91"/>
      <c r="C29" s="85"/>
      <c r="D29" s="95"/>
      <c r="E29" s="96"/>
      <c r="F29" s="45"/>
    </row>
    <row r="30" spans="1:6" ht="28.8">
      <c r="A30" s="83">
        <v>6</v>
      </c>
      <c r="B30" s="98" t="s">
        <v>148</v>
      </c>
      <c r="C30" s="92"/>
      <c r="D30" s="99"/>
      <c r="E30" s="100"/>
      <c r="F30" s="45"/>
    </row>
    <row r="31" spans="1:6">
      <c r="A31" s="88" t="s">
        <v>129</v>
      </c>
      <c r="B31" s="90" t="s">
        <v>149</v>
      </c>
      <c r="C31" s="85" t="s">
        <v>126</v>
      </c>
      <c r="D31" s="95">
        <v>16</v>
      </c>
      <c r="E31" s="236">
        <v>0</v>
      </c>
      <c r="F31" s="45">
        <f t="shared" si="0"/>
        <v>0</v>
      </c>
    </row>
    <row r="32" spans="1:6">
      <c r="A32" s="88" t="s">
        <v>132</v>
      </c>
      <c r="B32" s="91" t="s">
        <v>150</v>
      </c>
      <c r="C32" s="85" t="s">
        <v>126</v>
      </c>
      <c r="D32" s="95">
        <v>16</v>
      </c>
      <c r="E32" s="235">
        <v>0</v>
      </c>
      <c r="F32" s="45">
        <f t="shared" si="0"/>
        <v>0</v>
      </c>
    </row>
    <row r="33" spans="1:6" ht="63.75" customHeight="1">
      <c r="A33" s="83">
        <v>7</v>
      </c>
      <c r="B33" s="101" t="s">
        <v>151</v>
      </c>
      <c r="C33" s="85"/>
      <c r="D33" s="95"/>
      <c r="E33" s="96"/>
      <c r="F33" s="45"/>
    </row>
    <row r="34" spans="1:6">
      <c r="A34" s="88"/>
      <c r="B34" s="89"/>
      <c r="C34" s="85"/>
      <c r="D34" s="95"/>
      <c r="E34" s="96"/>
      <c r="F34" s="45"/>
    </row>
    <row r="35" spans="1:6">
      <c r="A35" s="83">
        <v>8</v>
      </c>
      <c r="B35" s="84" t="s">
        <v>152</v>
      </c>
      <c r="C35" s="92"/>
      <c r="D35" s="99"/>
      <c r="E35" s="100"/>
      <c r="F35" s="45"/>
    </row>
    <row r="36" spans="1:6">
      <c r="A36" s="88" t="s">
        <v>129</v>
      </c>
      <c r="B36" s="91" t="s">
        <v>153</v>
      </c>
      <c r="C36" s="85" t="s">
        <v>126</v>
      </c>
      <c r="D36" s="99">
        <v>150</v>
      </c>
      <c r="E36" s="236">
        <v>0</v>
      </c>
      <c r="F36" s="45">
        <f t="shared" si="0"/>
        <v>0</v>
      </c>
    </row>
    <row r="37" spans="1:6">
      <c r="A37" s="88" t="s">
        <v>132</v>
      </c>
      <c r="B37" s="91" t="s">
        <v>154</v>
      </c>
      <c r="C37" s="85" t="s">
        <v>126</v>
      </c>
      <c r="D37" s="95">
        <v>160</v>
      </c>
      <c r="E37" s="236">
        <v>0</v>
      </c>
      <c r="F37" s="45">
        <f t="shared" si="0"/>
        <v>0</v>
      </c>
    </row>
    <row r="38" spans="1:6">
      <c r="A38" s="88"/>
      <c r="B38" s="91"/>
      <c r="C38" s="85"/>
      <c r="D38" s="95"/>
      <c r="E38" s="96"/>
      <c r="F38" s="45"/>
    </row>
    <row r="39" spans="1:6">
      <c r="A39" s="83">
        <v>9</v>
      </c>
      <c r="B39" s="102" t="s">
        <v>155</v>
      </c>
      <c r="C39" s="92"/>
      <c r="D39" s="99"/>
      <c r="E39" s="100"/>
      <c r="F39" s="45"/>
    </row>
    <row r="40" spans="1:6">
      <c r="A40" s="88" t="s">
        <v>129</v>
      </c>
      <c r="B40" s="103" t="s">
        <v>156</v>
      </c>
      <c r="C40" s="92" t="s">
        <v>143</v>
      </c>
      <c r="D40" s="99">
        <v>48</v>
      </c>
      <c r="E40" s="236">
        <v>0</v>
      </c>
      <c r="F40" s="45">
        <f t="shared" si="0"/>
        <v>0</v>
      </c>
    </row>
    <row r="41" spans="1:6">
      <c r="A41" s="88" t="s">
        <v>132</v>
      </c>
      <c r="B41" s="103" t="s">
        <v>157</v>
      </c>
      <c r="C41" s="92" t="s">
        <v>143</v>
      </c>
      <c r="D41" s="99">
        <v>80</v>
      </c>
      <c r="E41" s="236">
        <v>0</v>
      </c>
      <c r="F41" s="45">
        <f t="shared" si="0"/>
        <v>0</v>
      </c>
    </row>
    <row r="42" spans="1:6">
      <c r="A42" s="88" t="s">
        <v>137</v>
      </c>
      <c r="B42" s="103" t="s">
        <v>158</v>
      </c>
      <c r="C42" s="92" t="s">
        <v>143</v>
      </c>
      <c r="D42" s="99">
        <v>56</v>
      </c>
      <c r="E42" s="236">
        <v>0</v>
      </c>
      <c r="F42" s="45">
        <f t="shared" si="0"/>
        <v>0</v>
      </c>
    </row>
    <row r="43" spans="1:6">
      <c r="A43" s="88" t="s">
        <v>139</v>
      </c>
      <c r="B43" s="103" t="s">
        <v>159</v>
      </c>
      <c r="C43" s="92" t="s">
        <v>143</v>
      </c>
      <c r="D43" s="99">
        <v>2</v>
      </c>
      <c r="E43" s="236">
        <v>0</v>
      </c>
      <c r="F43" s="45">
        <f t="shared" si="0"/>
        <v>0</v>
      </c>
    </row>
    <row r="44" spans="1:6">
      <c r="A44" s="88" t="s">
        <v>146</v>
      </c>
      <c r="B44" s="103" t="s">
        <v>160</v>
      </c>
      <c r="C44" s="92" t="s">
        <v>143</v>
      </c>
      <c r="D44" s="99">
        <v>2</v>
      </c>
      <c r="E44" s="235">
        <v>0</v>
      </c>
      <c r="F44" s="45">
        <f t="shared" si="0"/>
        <v>0</v>
      </c>
    </row>
    <row r="45" spans="1:6">
      <c r="A45" s="88" t="s">
        <v>161</v>
      </c>
      <c r="B45" s="103" t="s">
        <v>162</v>
      </c>
      <c r="C45" s="92" t="s">
        <v>143</v>
      </c>
      <c r="D45" s="99">
        <v>2</v>
      </c>
      <c r="E45" s="235">
        <v>0</v>
      </c>
      <c r="F45" s="45">
        <f t="shared" si="0"/>
        <v>0</v>
      </c>
    </row>
    <row r="46" spans="1:6">
      <c r="A46" s="88"/>
      <c r="B46" s="103"/>
      <c r="C46" s="92"/>
      <c r="D46" s="99"/>
      <c r="E46" s="100"/>
      <c r="F46" s="45"/>
    </row>
    <row r="47" spans="1:6" ht="28.8">
      <c r="A47" s="83">
        <v>10</v>
      </c>
      <c r="B47" s="84" t="s">
        <v>163</v>
      </c>
      <c r="C47" s="92"/>
      <c r="D47" s="99"/>
      <c r="E47" s="100"/>
      <c r="F47" s="45"/>
    </row>
    <row r="48" spans="1:6">
      <c r="A48" s="88" t="s">
        <v>129</v>
      </c>
      <c r="B48" s="90" t="s">
        <v>164</v>
      </c>
      <c r="C48" s="85" t="s">
        <v>126</v>
      </c>
      <c r="D48" s="95">
        <v>52</v>
      </c>
      <c r="E48" s="236">
        <v>0</v>
      </c>
      <c r="F48" s="45">
        <f t="shared" si="0"/>
        <v>0</v>
      </c>
    </row>
    <row r="49" spans="1:6">
      <c r="A49" s="88" t="s">
        <v>132</v>
      </c>
      <c r="B49" s="90" t="s">
        <v>165</v>
      </c>
      <c r="C49" s="85" t="s">
        <v>126</v>
      </c>
      <c r="D49" s="95">
        <v>34</v>
      </c>
      <c r="E49" s="236">
        <v>0</v>
      </c>
      <c r="F49" s="45">
        <f t="shared" si="0"/>
        <v>0</v>
      </c>
    </row>
    <row r="50" spans="1:6">
      <c r="A50" s="88" t="s">
        <v>137</v>
      </c>
      <c r="B50" s="90" t="s">
        <v>166</v>
      </c>
      <c r="C50" s="85" t="s">
        <v>126</v>
      </c>
      <c r="D50" s="95">
        <v>48</v>
      </c>
      <c r="E50" s="236">
        <v>0</v>
      </c>
      <c r="F50" s="45">
        <f t="shared" si="0"/>
        <v>0</v>
      </c>
    </row>
    <row r="51" spans="1:6">
      <c r="A51" s="88"/>
      <c r="B51" s="90"/>
      <c r="C51" s="85"/>
      <c r="D51" s="95"/>
      <c r="E51" s="96"/>
      <c r="F51" s="45"/>
    </row>
    <row r="52" spans="1:6" ht="86.4">
      <c r="A52" s="83">
        <v>11</v>
      </c>
      <c r="B52" s="84" t="s">
        <v>167</v>
      </c>
      <c r="C52" s="85" t="s">
        <v>126</v>
      </c>
      <c r="D52" s="95">
        <v>1</v>
      </c>
      <c r="E52" s="236">
        <v>0</v>
      </c>
      <c r="F52" s="45">
        <f t="shared" si="0"/>
        <v>0</v>
      </c>
    </row>
    <row r="53" spans="1:6">
      <c r="A53" s="88"/>
      <c r="B53" s="89"/>
      <c r="C53" s="85"/>
      <c r="D53" s="95"/>
      <c r="E53" s="97"/>
      <c r="F53" s="45"/>
    </row>
    <row r="54" spans="1:6" ht="43.2">
      <c r="A54" s="83">
        <v>12</v>
      </c>
      <c r="B54" s="102" t="s">
        <v>168</v>
      </c>
      <c r="C54" s="85"/>
      <c r="D54" s="95"/>
      <c r="E54" s="97"/>
      <c r="F54" s="45"/>
    </row>
    <row r="55" spans="1:6">
      <c r="A55" s="88"/>
      <c r="B55" s="103" t="s">
        <v>169</v>
      </c>
      <c r="C55" s="85" t="s">
        <v>126</v>
      </c>
      <c r="D55" s="95">
        <v>8</v>
      </c>
      <c r="E55" s="236">
        <v>0</v>
      </c>
      <c r="F55" s="45">
        <f t="shared" si="0"/>
        <v>0</v>
      </c>
    </row>
    <row r="56" spans="1:6">
      <c r="A56" s="88"/>
      <c r="B56" s="103"/>
      <c r="C56" s="85"/>
      <c r="D56" s="95"/>
      <c r="E56" s="96"/>
      <c r="F56" s="45"/>
    </row>
    <row r="57" spans="1:6">
      <c r="A57" s="83">
        <v>13</v>
      </c>
      <c r="B57" s="104" t="s">
        <v>170</v>
      </c>
      <c r="C57" s="85" t="s">
        <v>126</v>
      </c>
      <c r="D57" s="95">
        <v>80</v>
      </c>
      <c r="E57" s="235">
        <v>0</v>
      </c>
      <c r="F57" s="45">
        <f t="shared" si="0"/>
        <v>0</v>
      </c>
    </row>
    <row r="58" spans="1:6">
      <c r="A58" s="88"/>
      <c r="B58" s="90"/>
      <c r="C58" s="85"/>
      <c r="D58" s="95"/>
      <c r="E58" s="96"/>
      <c r="F58" s="45"/>
    </row>
    <row r="59" spans="1:6" ht="28.8">
      <c r="A59" s="83">
        <v>14</v>
      </c>
      <c r="B59" s="104" t="s">
        <v>171</v>
      </c>
      <c r="C59" s="85" t="s">
        <v>126</v>
      </c>
      <c r="D59" s="95">
        <v>8</v>
      </c>
      <c r="E59" s="236">
        <v>0</v>
      </c>
      <c r="F59" s="45">
        <f t="shared" si="0"/>
        <v>0</v>
      </c>
    </row>
    <row r="60" spans="1:6">
      <c r="A60" s="88"/>
      <c r="B60" s="90"/>
      <c r="C60" s="85"/>
      <c r="D60" s="95"/>
      <c r="E60" s="97"/>
      <c r="F60" s="45"/>
    </row>
    <row r="61" spans="1:6">
      <c r="A61" s="83">
        <v>15</v>
      </c>
      <c r="B61" s="104" t="s">
        <v>172</v>
      </c>
      <c r="C61" s="85" t="s">
        <v>126</v>
      </c>
      <c r="D61" s="95">
        <v>2</v>
      </c>
      <c r="E61" s="236">
        <v>0</v>
      </c>
      <c r="F61" s="45">
        <f t="shared" si="0"/>
        <v>0</v>
      </c>
    </row>
    <row r="62" spans="1:6" ht="15.6">
      <c r="A62" s="88"/>
      <c r="B62" s="268" t="s">
        <v>173</v>
      </c>
      <c r="C62" s="269"/>
      <c r="D62" s="269"/>
      <c r="E62" s="269"/>
      <c r="F62" s="105">
        <f>SUM(F10:F61)</f>
        <v>0</v>
      </c>
    </row>
  </sheetData>
  <mergeCells count="5">
    <mergeCell ref="A2:F2"/>
    <mergeCell ref="A3:F3"/>
    <mergeCell ref="A5:F5"/>
    <mergeCell ref="A7:F7"/>
    <mergeCell ref="B62:E62"/>
  </mergeCells>
  <printOptions horizontalCentered="1"/>
  <pageMargins left="0.7" right="0.7" top="0.75" bottom="0.75" header="0.3" footer="0.3"/>
  <pageSetup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31"/>
  <sheetViews>
    <sheetView showGridLines="0" zoomScaleNormal="100" workbookViewId="0">
      <selection activeCell="A2" sqref="A2:F7"/>
    </sheetView>
  </sheetViews>
  <sheetFormatPr defaultRowHeight="14.4"/>
  <cols>
    <col min="1" max="1" width="4.44140625" customWidth="1"/>
    <col min="2" max="2" width="47.44140625" customWidth="1"/>
    <col min="3" max="3" width="9" customWidth="1"/>
    <col min="4" max="5" width="9.5546875" bestFit="1" customWidth="1"/>
    <col min="6" max="6" width="13.33203125" customWidth="1"/>
  </cols>
  <sheetData>
    <row r="2" spans="1:6" ht="21">
      <c r="A2" s="265" t="s">
        <v>412</v>
      </c>
      <c r="B2" s="265"/>
      <c r="C2" s="265"/>
      <c r="D2" s="265"/>
      <c r="E2" s="265"/>
      <c r="F2" s="265"/>
    </row>
    <row r="3" spans="1:6" ht="21">
      <c r="A3" s="265" t="s">
        <v>438</v>
      </c>
      <c r="B3" s="265"/>
      <c r="C3" s="265"/>
      <c r="D3" s="265"/>
      <c r="E3" s="265"/>
      <c r="F3" s="265"/>
    </row>
    <row r="4" spans="1:6" ht="13.5" customHeight="1">
      <c r="A4" s="79"/>
      <c r="B4" s="79"/>
      <c r="C4" s="79"/>
      <c r="D4" s="79"/>
      <c r="E4" s="79"/>
      <c r="F4" s="79"/>
    </row>
    <row r="5" spans="1:6" ht="18">
      <c r="A5" s="266" t="s">
        <v>119</v>
      </c>
      <c r="B5" s="266"/>
      <c r="C5" s="266"/>
      <c r="D5" s="266"/>
      <c r="E5" s="266"/>
      <c r="F5" s="266"/>
    </row>
    <row r="6" spans="1:6" ht="12.75" customHeight="1">
      <c r="A6" s="80"/>
      <c r="B6" s="80"/>
      <c r="C6" s="80"/>
      <c r="D6" s="80"/>
      <c r="E6" s="80"/>
      <c r="F6" s="80"/>
    </row>
    <row r="7" spans="1:6" ht="18">
      <c r="A7" s="267" t="s">
        <v>174</v>
      </c>
      <c r="B7" s="267"/>
      <c r="C7" s="267"/>
      <c r="D7" s="267"/>
      <c r="E7" s="267"/>
      <c r="F7" s="267"/>
    </row>
    <row r="8" spans="1:6" ht="8.25" customHeight="1">
      <c r="A8" s="106"/>
      <c r="B8" s="106"/>
      <c r="C8" s="106"/>
      <c r="D8" s="106"/>
      <c r="E8" s="106"/>
      <c r="F8" s="106"/>
    </row>
    <row r="9" spans="1:6" ht="34.5" customHeight="1">
      <c r="A9" s="203" t="s">
        <v>175</v>
      </c>
      <c r="B9" s="204" t="s">
        <v>122</v>
      </c>
      <c r="C9" s="204" t="s">
        <v>24</v>
      </c>
      <c r="D9" s="204" t="s">
        <v>123</v>
      </c>
      <c r="E9" s="203" t="s">
        <v>124</v>
      </c>
      <c r="F9" s="204" t="s">
        <v>114</v>
      </c>
    </row>
    <row r="10" spans="1:6">
      <c r="A10" s="107"/>
      <c r="B10" s="108"/>
      <c r="C10" s="108"/>
      <c r="D10" s="109"/>
      <c r="E10" s="109"/>
      <c r="F10" s="46"/>
    </row>
    <row r="11" spans="1:6" ht="15.6">
      <c r="A11" s="110" t="s">
        <v>176</v>
      </c>
      <c r="B11" s="111" t="s">
        <v>177</v>
      </c>
      <c r="C11" s="108"/>
      <c r="D11" s="109"/>
      <c r="E11" s="112"/>
      <c r="F11" s="46"/>
    </row>
    <row r="12" spans="1:6">
      <c r="A12" s="107"/>
      <c r="B12" s="108" t="s">
        <v>178</v>
      </c>
      <c r="C12" s="113" t="s">
        <v>179</v>
      </c>
      <c r="D12" s="114">
        <v>12</v>
      </c>
      <c r="E12" s="237">
        <v>0</v>
      </c>
      <c r="F12" s="45">
        <f>E12*D12</f>
        <v>0</v>
      </c>
    </row>
    <row r="13" spans="1:6">
      <c r="A13" s="107"/>
      <c r="B13" s="108" t="s">
        <v>180</v>
      </c>
      <c r="C13" s="113" t="s">
        <v>179</v>
      </c>
      <c r="D13" s="114">
        <v>12</v>
      </c>
      <c r="E13" s="237">
        <v>0</v>
      </c>
      <c r="F13" s="45">
        <f t="shared" ref="F13:F30" si="0">E13*D13</f>
        <v>0</v>
      </c>
    </row>
    <row r="14" spans="1:6">
      <c r="A14" s="107"/>
      <c r="B14" s="108" t="s">
        <v>181</v>
      </c>
      <c r="C14" s="113" t="s">
        <v>182</v>
      </c>
      <c r="D14" s="114">
        <v>96</v>
      </c>
      <c r="E14" s="237">
        <v>0</v>
      </c>
      <c r="F14" s="45">
        <f t="shared" si="0"/>
        <v>0</v>
      </c>
    </row>
    <row r="15" spans="1:6">
      <c r="A15" s="107"/>
      <c r="B15" s="108"/>
      <c r="C15" s="113"/>
      <c r="D15" s="114"/>
      <c r="E15" s="115"/>
      <c r="F15" s="45"/>
    </row>
    <row r="16" spans="1:6" ht="15.6">
      <c r="A16" s="116" t="s">
        <v>183</v>
      </c>
      <c r="B16" s="117" t="s">
        <v>184</v>
      </c>
      <c r="C16" s="113"/>
      <c r="D16" s="114"/>
      <c r="E16" s="118"/>
      <c r="F16" s="45"/>
    </row>
    <row r="17" spans="1:6">
      <c r="A17" s="107"/>
      <c r="B17" s="119" t="s">
        <v>185</v>
      </c>
      <c r="C17" s="113" t="s">
        <v>179</v>
      </c>
      <c r="D17" s="114">
        <v>24</v>
      </c>
      <c r="E17" s="237">
        <v>0</v>
      </c>
      <c r="F17" s="45">
        <f t="shared" si="0"/>
        <v>0</v>
      </c>
    </row>
    <row r="18" spans="1:6">
      <c r="A18" s="107"/>
      <c r="B18" s="119" t="s">
        <v>186</v>
      </c>
      <c r="C18" s="113" t="s">
        <v>179</v>
      </c>
      <c r="D18" s="114">
        <v>18</v>
      </c>
      <c r="E18" s="237">
        <v>0</v>
      </c>
      <c r="F18" s="45">
        <f t="shared" si="0"/>
        <v>0</v>
      </c>
    </row>
    <row r="19" spans="1:6">
      <c r="A19" s="107"/>
      <c r="B19" s="119" t="s">
        <v>187</v>
      </c>
      <c r="C19" s="113" t="s">
        <v>179</v>
      </c>
      <c r="D19" s="114">
        <v>6</v>
      </c>
      <c r="E19" s="238">
        <v>0</v>
      </c>
      <c r="F19" s="45">
        <f t="shared" si="0"/>
        <v>0</v>
      </c>
    </row>
    <row r="20" spans="1:6">
      <c r="A20" s="107"/>
      <c r="B20" s="119"/>
      <c r="C20" s="113"/>
      <c r="D20" s="114"/>
      <c r="E20" s="115"/>
      <c r="F20" s="45"/>
    </row>
    <row r="21" spans="1:6" ht="15.6">
      <c r="A21" s="110" t="s">
        <v>188</v>
      </c>
      <c r="B21" s="117" t="s">
        <v>189</v>
      </c>
      <c r="C21" s="113"/>
      <c r="D21" s="114"/>
      <c r="E21" s="115"/>
      <c r="F21" s="45"/>
    </row>
    <row r="22" spans="1:6">
      <c r="A22" s="107"/>
      <c r="B22" s="119" t="s">
        <v>190</v>
      </c>
      <c r="C22" s="120" t="s">
        <v>179</v>
      </c>
      <c r="D22" s="121">
        <v>8</v>
      </c>
      <c r="E22" s="238">
        <v>0</v>
      </c>
      <c r="F22" s="45">
        <f t="shared" si="0"/>
        <v>0</v>
      </c>
    </row>
    <row r="23" spans="1:6">
      <c r="A23" s="107"/>
      <c r="B23" s="119" t="s">
        <v>191</v>
      </c>
      <c r="C23" s="120" t="s">
        <v>179</v>
      </c>
      <c r="D23" s="121">
        <v>8</v>
      </c>
      <c r="E23" s="238">
        <v>0</v>
      </c>
      <c r="F23" s="45">
        <f t="shared" si="0"/>
        <v>0</v>
      </c>
    </row>
    <row r="24" spans="1:6">
      <c r="A24" s="107"/>
      <c r="B24" s="119" t="s">
        <v>192</v>
      </c>
      <c r="C24" s="120" t="s">
        <v>179</v>
      </c>
      <c r="D24" s="121">
        <v>8</v>
      </c>
      <c r="E24" s="238">
        <v>0</v>
      </c>
      <c r="F24" s="45">
        <f t="shared" si="0"/>
        <v>0</v>
      </c>
    </row>
    <row r="25" spans="1:6">
      <c r="A25" s="107"/>
      <c r="B25" s="119" t="s">
        <v>193</v>
      </c>
      <c r="C25" s="120" t="s">
        <v>179</v>
      </c>
      <c r="D25" s="121">
        <v>48</v>
      </c>
      <c r="E25" s="237">
        <v>0</v>
      </c>
      <c r="F25" s="45">
        <f t="shared" si="0"/>
        <v>0</v>
      </c>
    </row>
    <row r="26" spans="1:6">
      <c r="A26" s="107"/>
      <c r="B26" s="119" t="s">
        <v>194</v>
      </c>
      <c r="C26" s="120" t="s">
        <v>179</v>
      </c>
      <c r="D26" s="121">
        <v>24</v>
      </c>
      <c r="E26" s="237">
        <v>0</v>
      </c>
      <c r="F26" s="45">
        <f t="shared" si="0"/>
        <v>0</v>
      </c>
    </row>
    <row r="27" spans="1:6">
      <c r="A27" s="107"/>
      <c r="B27" s="119" t="s">
        <v>195</v>
      </c>
      <c r="C27" s="120" t="s">
        <v>179</v>
      </c>
      <c r="D27" s="121">
        <v>20</v>
      </c>
      <c r="E27" s="237">
        <v>0</v>
      </c>
      <c r="F27" s="45">
        <f t="shared" si="0"/>
        <v>0</v>
      </c>
    </row>
    <row r="28" spans="1:6">
      <c r="A28" s="107"/>
      <c r="B28" s="122" t="s">
        <v>196</v>
      </c>
      <c r="C28" s="123" t="s">
        <v>179</v>
      </c>
      <c r="D28" s="121">
        <v>6</v>
      </c>
      <c r="E28" s="238">
        <v>0</v>
      </c>
      <c r="F28" s="45">
        <f t="shared" si="0"/>
        <v>0</v>
      </c>
    </row>
    <row r="29" spans="1:6">
      <c r="A29" s="107"/>
      <c r="B29" s="124" t="s">
        <v>197</v>
      </c>
      <c r="C29" s="123" t="s">
        <v>179</v>
      </c>
      <c r="D29" s="114">
        <v>4</v>
      </c>
      <c r="E29" s="238">
        <v>0</v>
      </c>
      <c r="F29" s="45">
        <f t="shared" si="0"/>
        <v>0</v>
      </c>
    </row>
    <row r="30" spans="1:6">
      <c r="A30" s="107"/>
      <c r="B30" s="124" t="s">
        <v>198</v>
      </c>
      <c r="C30" s="123" t="s">
        <v>179</v>
      </c>
      <c r="D30" s="114">
        <v>2</v>
      </c>
      <c r="E30" s="238">
        <v>0</v>
      </c>
      <c r="F30" s="45">
        <f t="shared" si="0"/>
        <v>0</v>
      </c>
    </row>
    <row r="31" spans="1:6" ht="15.6">
      <c r="A31" s="107"/>
      <c r="B31" s="270" t="s">
        <v>199</v>
      </c>
      <c r="C31" s="271"/>
      <c r="D31" s="271"/>
      <c r="E31" s="272"/>
      <c r="F31" s="125">
        <f>SUM(F12:F30)</f>
        <v>0</v>
      </c>
    </row>
  </sheetData>
  <mergeCells count="5">
    <mergeCell ref="A2:F2"/>
    <mergeCell ref="A3:F3"/>
    <mergeCell ref="A5:F5"/>
    <mergeCell ref="A7:F7"/>
    <mergeCell ref="B31:E31"/>
  </mergeCells>
  <printOptions horizontalCentered="1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G248"/>
  <sheetViews>
    <sheetView showGridLines="0" topLeftCell="A237" zoomScale="103" workbookViewId="0">
      <selection activeCell="F11" sqref="F11"/>
    </sheetView>
  </sheetViews>
  <sheetFormatPr defaultRowHeight="14.4"/>
  <cols>
    <col min="1" max="1" width="5.6640625" customWidth="1"/>
    <col min="2" max="2" width="55.6640625" bestFit="1" customWidth="1"/>
    <col min="3" max="3" width="7.44140625" bestFit="1" customWidth="1"/>
    <col min="4" max="4" width="10.88671875" bestFit="1" customWidth="1"/>
    <col min="5" max="5" width="8.88671875" bestFit="1" customWidth="1"/>
    <col min="6" max="6" width="12" bestFit="1" customWidth="1"/>
  </cols>
  <sheetData>
    <row r="3" spans="1:6">
      <c r="B3" s="19" t="s">
        <v>54</v>
      </c>
    </row>
    <row r="4" spans="1:6">
      <c r="B4" t="s">
        <v>409</v>
      </c>
      <c r="F4" s="25">
        <f>F34+F48+F60+F72+F119+F133+F147+F155+F166+F183+F202+F238+F241+F245</f>
        <v>0</v>
      </c>
    </row>
    <row r="5" spans="1:6">
      <c r="B5" t="s">
        <v>407</v>
      </c>
      <c r="F5" s="25">
        <f>F96</f>
        <v>0</v>
      </c>
    </row>
    <row r="6" spans="1:6">
      <c r="B6" t="s">
        <v>408</v>
      </c>
      <c r="F6" s="25">
        <f>F87</f>
        <v>0</v>
      </c>
    </row>
    <row r="7" spans="1:6">
      <c r="B7" t="str">
        <f>B243</f>
        <v>Complete Solar System (120 kVA)</v>
      </c>
      <c r="F7" s="25">
        <f>F243</f>
        <v>0</v>
      </c>
    </row>
    <row r="8" spans="1:6">
      <c r="B8" t="str">
        <f>B244</f>
        <v>Generator (165 kVA)</v>
      </c>
      <c r="F8" s="25">
        <f>F244</f>
        <v>0</v>
      </c>
    </row>
    <row r="9" spans="1:6">
      <c r="B9" t="str">
        <f>B242</f>
        <v>UPS complete system (5 kVA)</v>
      </c>
      <c r="F9" s="25">
        <f>F242</f>
        <v>0</v>
      </c>
    </row>
    <row r="10" spans="1:6">
      <c r="F10" s="25"/>
    </row>
    <row r="11" spans="1:6">
      <c r="F11" s="25">
        <f>SUM(F4:F9)</f>
        <v>0</v>
      </c>
    </row>
    <row r="12" spans="1:6">
      <c r="F12" s="25"/>
    </row>
    <row r="13" spans="1:6">
      <c r="F13" s="25">
        <f>F11-F248</f>
        <v>0</v>
      </c>
    </row>
    <row r="14" spans="1:6">
      <c r="F14" s="25"/>
    </row>
    <row r="15" spans="1:6" ht="21">
      <c r="A15" s="265" t="s">
        <v>412</v>
      </c>
      <c r="B15" s="265"/>
      <c r="C15" s="265"/>
      <c r="D15" s="265"/>
      <c r="E15" s="265"/>
      <c r="F15" s="265"/>
    </row>
    <row r="16" spans="1:6" ht="21">
      <c r="A16" s="265" t="s">
        <v>438</v>
      </c>
      <c r="B16" s="265"/>
      <c r="C16" s="265"/>
      <c r="D16" s="265"/>
      <c r="E16" s="265"/>
      <c r="F16" s="265"/>
    </row>
    <row r="17" spans="1:6" ht="21">
      <c r="A17" s="229"/>
      <c r="B17" s="229"/>
      <c r="C17" s="229"/>
      <c r="D17" s="229"/>
      <c r="E17" s="229"/>
      <c r="F17" s="229"/>
    </row>
    <row r="18" spans="1:6" ht="18">
      <c r="A18" s="266" t="s">
        <v>119</v>
      </c>
      <c r="B18" s="266"/>
      <c r="C18" s="266"/>
      <c r="D18" s="266"/>
      <c r="E18" s="266"/>
      <c r="F18" s="266"/>
    </row>
    <row r="19" spans="1:6" ht="18">
      <c r="A19" s="230"/>
      <c r="B19" s="230"/>
      <c r="C19" s="230"/>
      <c r="D19" s="230"/>
      <c r="E19" s="230"/>
      <c r="F19" s="230"/>
    </row>
    <row r="20" spans="1:6" ht="18">
      <c r="A20" s="267" t="s">
        <v>439</v>
      </c>
      <c r="B20" s="267"/>
      <c r="C20" s="267"/>
      <c r="D20" s="267"/>
      <c r="E20" s="267"/>
      <c r="F20" s="267"/>
    </row>
    <row r="22" spans="1:6" ht="31.2">
      <c r="A22" s="203" t="s">
        <v>175</v>
      </c>
      <c r="B22" s="204" t="s">
        <v>122</v>
      </c>
      <c r="C22" s="204" t="s">
        <v>24</v>
      </c>
      <c r="D22" s="204" t="s">
        <v>123</v>
      </c>
      <c r="E22" s="203" t="s">
        <v>124</v>
      </c>
      <c r="F22" s="204" t="s">
        <v>114</v>
      </c>
    </row>
    <row r="23" spans="1:6" ht="15.6">
      <c r="A23" s="126">
        <v>1</v>
      </c>
      <c r="B23" s="127" t="s">
        <v>200</v>
      </c>
      <c r="C23" s="82"/>
      <c r="D23" s="82"/>
      <c r="E23" s="81"/>
      <c r="F23" s="82"/>
    </row>
    <row r="24" spans="1:6" ht="15.6">
      <c r="A24" s="128"/>
      <c r="B24" s="129" t="s">
        <v>201</v>
      </c>
      <c r="C24" s="82"/>
      <c r="D24" s="82"/>
      <c r="E24" s="81"/>
      <c r="F24" s="130"/>
    </row>
    <row r="25" spans="1:6" ht="15.6">
      <c r="A25" s="128"/>
      <c r="B25" s="129" t="s">
        <v>202</v>
      </c>
      <c r="C25" s="131"/>
      <c r="D25" s="131"/>
      <c r="E25" s="132"/>
      <c r="F25" s="133"/>
    </row>
    <row r="26" spans="1:6" ht="15.6">
      <c r="A26" s="128"/>
      <c r="B26" s="129" t="s">
        <v>203</v>
      </c>
      <c r="C26" s="131"/>
      <c r="D26" s="131"/>
      <c r="E26" s="132"/>
      <c r="F26" s="133"/>
    </row>
    <row r="27" spans="1:6" ht="15.6">
      <c r="A27" s="128"/>
      <c r="B27" s="134" t="s">
        <v>204</v>
      </c>
      <c r="C27" s="113" t="s">
        <v>179</v>
      </c>
      <c r="D27" s="135">
        <v>3</v>
      </c>
      <c r="E27" s="239">
        <v>0</v>
      </c>
      <c r="F27" s="133">
        <f t="shared" ref="F27:F33" si="0">E27*D27</f>
        <v>0</v>
      </c>
    </row>
    <row r="28" spans="1:6" ht="15.6">
      <c r="A28" s="128"/>
      <c r="B28" s="134" t="s">
        <v>205</v>
      </c>
      <c r="C28" s="113" t="s">
        <v>179</v>
      </c>
      <c r="D28" s="135">
        <v>3</v>
      </c>
      <c r="E28" s="239">
        <v>0</v>
      </c>
      <c r="F28" s="133">
        <f t="shared" si="0"/>
        <v>0</v>
      </c>
    </row>
    <row r="29" spans="1:6" ht="15.6">
      <c r="A29" s="128"/>
      <c r="B29" s="134" t="s">
        <v>206</v>
      </c>
      <c r="C29" s="113" t="s">
        <v>179</v>
      </c>
      <c r="D29" s="135">
        <v>6</v>
      </c>
      <c r="E29" s="239">
        <v>0</v>
      </c>
      <c r="F29" s="133">
        <f t="shared" si="0"/>
        <v>0</v>
      </c>
    </row>
    <row r="30" spans="1:6" ht="15.6">
      <c r="A30" s="128"/>
      <c r="B30" s="134" t="s">
        <v>207</v>
      </c>
      <c r="C30" s="113" t="s">
        <v>179</v>
      </c>
      <c r="D30" s="135">
        <v>3</v>
      </c>
      <c r="E30" s="239">
        <v>0</v>
      </c>
      <c r="F30" s="133">
        <f t="shared" si="0"/>
        <v>0</v>
      </c>
    </row>
    <row r="31" spans="1:6" ht="15.6">
      <c r="A31" s="128"/>
      <c r="B31" s="134" t="s">
        <v>208</v>
      </c>
      <c r="C31" s="113" t="s">
        <v>179</v>
      </c>
      <c r="D31" s="137">
        <v>12</v>
      </c>
      <c r="E31" s="239">
        <v>0</v>
      </c>
      <c r="F31" s="133">
        <f t="shared" si="0"/>
        <v>0</v>
      </c>
    </row>
    <row r="32" spans="1:6" ht="15.6">
      <c r="A32" s="128"/>
      <c r="B32" s="134" t="s">
        <v>209</v>
      </c>
      <c r="C32" s="113" t="s">
        <v>179</v>
      </c>
      <c r="D32" s="135">
        <v>6</v>
      </c>
      <c r="E32" s="239">
        <v>0</v>
      </c>
      <c r="F32" s="133">
        <f t="shared" si="0"/>
        <v>0</v>
      </c>
    </row>
    <row r="33" spans="1:6" ht="15.6">
      <c r="A33" s="128"/>
      <c r="B33" s="134" t="s">
        <v>210</v>
      </c>
      <c r="C33" s="113" t="s">
        <v>179</v>
      </c>
      <c r="D33" s="135">
        <v>6</v>
      </c>
      <c r="E33" s="239">
        <v>0</v>
      </c>
      <c r="F33" s="133">
        <f t="shared" si="0"/>
        <v>0</v>
      </c>
    </row>
    <row r="34" spans="1:6">
      <c r="F34" s="28">
        <f>SUM(F27:F33)</f>
        <v>0</v>
      </c>
    </row>
    <row r="36" spans="1:6" ht="15.6">
      <c r="A36" s="126">
        <v>2</v>
      </c>
      <c r="B36" s="127" t="s">
        <v>211</v>
      </c>
      <c r="C36" s="82"/>
      <c r="D36" s="82"/>
      <c r="E36" s="81"/>
      <c r="F36" s="82"/>
    </row>
    <row r="37" spans="1:6" ht="15.6">
      <c r="A37" s="128"/>
      <c r="B37" s="138"/>
      <c r="C37" s="82"/>
      <c r="D37" s="82"/>
      <c r="E37" s="81"/>
      <c r="F37" s="130"/>
    </row>
    <row r="38" spans="1:6" ht="15.6">
      <c r="A38" s="128"/>
      <c r="B38" s="129" t="s">
        <v>212</v>
      </c>
      <c r="C38" s="131"/>
      <c r="D38" s="131"/>
      <c r="E38" s="132"/>
      <c r="F38" s="133"/>
    </row>
    <row r="39" spans="1:6" ht="15.6">
      <c r="A39" s="128"/>
      <c r="B39" s="134" t="s">
        <v>213</v>
      </c>
      <c r="C39" s="113" t="s">
        <v>179</v>
      </c>
      <c r="D39" s="135">
        <v>1</v>
      </c>
      <c r="E39" s="239">
        <v>0</v>
      </c>
      <c r="F39" s="133">
        <f t="shared" ref="F39:F47" si="1">E39*D39</f>
        <v>0</v>
      </c>
    </row>
    <row r="40" spans="1:6" ht="15.6">
      <c r="A40" s="128"/>
      <c r="B40" s="134" t="s">
        <v>214</v>
      </c>
      <c r="C40" s="113" t="s">
        <v>179</v>
      </c>
      <c r="D40" s="135">
        <v>1</v>
      </c>
      <c r="E40" s="239">
        <v>0</v>
      </c>
      <c r="F40" s="133">
        <f t="shared" si="1"/>
        <v>0</v>
      </c>
    </row>
    <row r="41" spans="1:6" ht="15.6">
      <c r="A41" s="128"/>
      <c r="B41" s="134" t="s">
        <v>215</v>
      </c>
      <c r="C41" s="113" t="s">
        <v>179</v>
      </c>
      <c r="D41" s="135">
        <v>3</v>
      </c>
      <c r="E41" s="239">
        <v>0</v>
      </c>
      <c r="F41" s="133">
        <f t="shared" si="1"/>
        <v>0</v>
      </c>
    </row>
    <row r="42" spans="1:6" ht="15.6">
      <c r="A42" s="128"/>
      <c r="B42" s="134" t="s">
        <v>216</v>
      </c>
      <c r="C42" s="113" t="s">
        <v>179</v>
      </c>
      <c r="D42" s="135">
        <v>3</v>
      </c>
      <c r="E42" s="239">
        <v>0</v>
      </c>
      <c r="F42" s="133">
        <f>E42*D42</f>
        <v>0</v>
      </c>
    </row>
    <row r="43" spans="1:6" ht="15.6">
      <c r="A43" s="128"/>
      <c r="B43" s="134" t="s">
        <v>206</v>
      </c>
      <c r="C43" s="113" t="s">
        <v>179</v>
      </c>
      <c r="D43" s="135">
        <v>3</v>
      </c>
      <c r="E43" s="239">
        <v>0</v>
      </c>
      <c r="F43" s="133">
        <f t="shared" si="1"/>
        <v>0</v>
      </c>
    </row>
    <row r="44" spans="1:6" ht="15.6">
      <c r="A44" s="128"/>
      <c r="B44" s="134" t="s">
        <v>217</v>
      </c>
      <c r="C44" s="113" t="s">
        <v>179</v>
      </c>
      <c r="D44" s="135">
        <v>3</v>
      </c>
      <c r="E44" s="239">
        <v>0</v>
      </c>
      <c r="F44" s="133">
        <f t="shared" si="1"/>
        <v>0</v>
      </c>
    </row>
    <row r="45" spans="1:6" ht="15.6">
      <c r="A45" s="128"/>
      <c r="B45" s="134" t="s">
        <v>208</v>
      </c>
      <c r="C45" s="113" t="s">
        <v>179</v>
      </c>
      <c r="D45" s="137">
        <v>2</v>
      </c>
      <c r="E45" s="239">
        <v>0</v>
      </c>
      <c r="F45" s="133">
        <f t="shared" si="1"/>
        <v>0</v>
      </c>
    </row>
    <row r="46" spans="1:6" ht="15.6">
      <c r="A46" s="128"/>
      <c r="B46" s="134" t="s">
        <v>209</v>
      </c>
      <c r="C46" s="113" t="s">
        <v>179</v>
      </c>
      <c r="D46" s="135">
        <v>2</v>
      </c>
      <c r="E46" s="239">
        <v>0</v>
      </c>
      <c r="F46" s="133">
        <f t="shared" si="1"/>
        <v>0</v>
      </c>
    </row>
    <row r="47" spans="1:6" ht="15.6">
      <c r="A47" s="128"/>
      <c r="B47" s="134" t="s">
        <v>210</v>
      </c>
      <c r="C47" s="113" t="s">
        <v>179</v>
      </c>
      <c r="D47" s="135">
        <v>2</v>
      </c>
      <c r="E47" s="239">
        <v>0</v>
      </c>
      <c r="F47" s="133">
        <f t="shared" si="1"/>
        <v>0</v>
      </c>
    </row>
    <row r="48" spans="1:6">
      <c r="F48" s="28">
        <f>SUM(F39:F47)</f>
        <v>0</v>
      </c>
    </row>
    <row r="50" spans="1:6" ht="15.6">
      <c r="A50" s="126">
        <v>3</v>
      </c>
      <c r="B50" s="127" t="s">
        <v>218</v>
      </c>
      <c r="C50" s="82"/>
      <c r="D50" s="82"/>
      <c r="E50" s="81"/>
      <c r="F50" s="82"/>
    </row>
    <row r="51" spans="1:6" ht="15.6">
      <c r="A51" s="128"/>
      <c r="B51" s="138"/>
      <c r="C51" s="82"/>
      <c r="D51" s="82"/>
      <c r="E51" s="81"/>
      <c r="F51" s="130"/>
    </row>
    <row r="52" spans="1:6" ht="15.6">
      <c r="A52" s="128"/>
      <c r="B52" s="129" t="s">
        <v>219</v>
      </c>
      <c r="C52" s="131"/>
      <c r="D52" s="131"/>
      <c r="E52" s="132"/>
      <c r="F52" s="133"/>
    </row>
    <row r="53" spans="1:6" ht="15.6">
      <c r="A53" s="128"/>
      <c r="B53" s="134" t="s">
        <v>220</v>
      </c>
      <c r="C53" s="113" t="s">
        <v>179</v>
      </c>
      <c r="D53" s="135">
        <v>1</v>
      </c>
      <c r="E53" s="239">
        <v>0</v>
      </c>
      <c r="F53" s="133">
        <f t="shared" ref="F53:F59" si="2">E53*D53</f>
        <v>0</v>
      </c>
    </row>
    <row r="54" spans="1:6" ht="15.6">
      <c r="A54" s="128"/>
      <c r="B54" s="134" t="s">
        <v>221</v>
      </c>
      <c r="C54" s="113" t="s">
        <v>179</v>
      </c>
      <c r="D54" s="135">
        <v>1</v>
      </c>
      <c r="E54" s="239">
        <v>0</v>
      </c>
      <c r="F54" s="133">
        <f t="shared" si="2"/>
        <v>0</v>
      </c>
    </row>
    <row r="55" spans="1:6" ht="15.6">
      <c r="A55" s="128"/>
      <c r="B55" s="134" t="s">
        <v>222</v>
      </c>
      <c r="C55" s="113" t="s">
        <v>179</v>
      </c>
      <c r="D55" s="135">
        <v>1</v>
      </c>
      <c r="E55" s="239">
        <v>0</v>
      </c>
      <c r="F55" s="133">
        <f t="shared" si="2"/>
        <v>0</v>
      </c>
    </row>
    <row r="56" spans="1:6" ht="15.6">
      <c r="A56" s="128"/>
      <c r="B56" s="134" t="s">
        <v>223</v>
      </c>
      <c r="C56" s="113" t="s">
        <v>179</v>
      </c>
      <c r="D56" s="135">
        <v>1</v>
      </c>
      <c r="E56" s="239">
        <v>0</v>
      </c>
      <c r="F56" s="133">
        <f>E56*D56</f>
        <v>0</v>
      </c>
    </row>
    <row r="57" spans="1:6" ht="15.6">
      <c r="A57" s="128"/>
      <c r="B57" s="134" t="s">
        <v>224</v>
      </c>
      <c r="C57" s="113" t="s">
        <v>179</v>
      </c>
      <c r="D57" s="135">
        <v>1</v>
      </c>
      <c r="E57" s="239">
        <v>0</v>
      </c>
      <c r="F57" s="133">
        <f t="shared" si="2"/>
        <v>0</v>
      </c>
    </row>
    <row r="58" spans="1:6" ht="15.6">
      <c r="A58" s="128"/>
      <c r="B58" s="134" t="s">
        <v>209</v>
      </c>
      <c r="C58" s="113" t="s">
        <v>179</v>
      </c>
      <c r="D58" s="135">
        <v>2</v>
      </c>
      <c r="E58" s="239">
        <v>0</v>
      </c>
      <c r="F58" s="133">
        <f t="shared" si="2"/>
        <v>0</v>
      </c>
    </row>
    <row r="59" spans="1:6" ht="15.6">
      <c r="A59" s="128"/>
      <c r="B59" s="134" t="s">
        <v>210</v>
      </c>
      <c r="C59" s="113" t="s">
        <v>179</v>
      </c>
      <c r="D59" s="135">
        <v>2</v>
      </c>
      <c r="E59" s="239">
        <v>0</v>
      </c>
      <c r="F59" s="133">
        <f t="shared" si="2"/>
        <v>0</v>
      </c>
    </row>
    <row r="60" spans="1:6">
      <c r="F60" s="28">
        <f>SUM(F53:F59)</f>
        <v>0</v>
      </c>
    </row>
    <row r="62" spans="1:6" ht="15.6">
      <c r="A62" s="126">
        <v>3</v>
      </c>
      <c r="B62" s="127" t="s">
        <v>225</v>
      </c>
      <c r="C62" s="82"/>
      <c r="D62" s="82"/>
      <c r="E62" s="81"/>
      <c r="F62" s="82"/>
    </row>
    <row r="63" spans="1:6" ht="15.6">
      <c r="A63" s="128"/>
      <c r="B63" s="139" t="s">
        <v>226</v>
      </c>
      <c r="C63" s="113"/>
      <c r="D63" s="140"/>
      <c r="E63" s="141"/>
      <c r="F63" s="133"/>
    </row>
    <row r="64" spans="1:6" ht="15.6">
      <c r="A64" s="128"/>
      <c r="B64" s="139"/>
      <c r="C64" s="113"/>
      <c r="D64" s="140"/>
      <c r="E64" s="141"/>
      <c r="F64" s="133"/>
    </row>
    <row r="65" spans="1:6" ht="15.6">
      <c r="A65" s="128"/>
      <c r="B65" s="129" t="s">
        <v>227</v>
      </c>
      <c r="C65" s="113"/>
      <c r="D65" s="140"/>
      <c r="E65" s="141"/>
      <c r="F65" s="133"/>
    </row>
    <row r="66" spans="1:6" ht="15.6">
      <c r="A66" s="128"/>
      <c r="B66" s="129" t="s">
        <v>228</v>
      </c>
      <c r="C66" s="113"/>
      <c r="D66" s="140"/>
      <c r="E66" s="141"/>
      <c r="F66" s="133"/>
    </row>
    <row r="67" spans="1:6" ht="15.6">
      <c r="A67" s="128"/>
      <c r="B67" s="134" t="s">
        <v>229</v>
      </c>
      <c r="C67" s="113" t="s">
        <v>179</v>
      </c>
      <c r="D67" s="135">
        <v>24</v>
      </c>
      <c r="E67" s="239">
        <v>0</v>
      </c>
      <c r="F67" s="133">
        <f t="shared" ref="F67:F71" si="3">E67*D67</f>
        <v>0</v>
      </c>
    </row>
    <row r="68" spans="1:6" ht="15.6">
      <c r="A68" s="128"/>
      <c r="B68" s="134" t="s">
        <v>230</v>
      </c>
      <c r="C68" s="113" t="s">
        <v>179</v>
      </c>
      <c r="D68" s="137">
        <v>144</v>
      </c>
      <c r="E68" s="239">
        <v>0</v>
      </c>
      <c r="F68" s="133">
        <f t="shared" si="3"/>
        <v>0</v>
      </c>
    </row>
    <row r="69" spans="1:6" ht="15.6">
      <c r="A69" s="128"/>
      <c r="B69" s="134" t="s">
        <v>209</v>
      </c>
      <c r="C69" s="113" t="s">
        <v>179</v>
      </c>
      <c r="D69" s="135">
        <v>24</v>
      </c>
      <c r="E69" s="239">
        <v>0</v>
      </c>
      <c r="F69" s="133">
        <f t="shared" si="3"/>
        <v>0</v>
      </c>
    </row>
    <row r="70" spans="1:6" ht="15.6">
      <c r="A70" s="128"/>
      <c r="B70" s="134" t="s">
        <v>210</v>
      </c>
      <c r="C70" s="113" t="s">
        <v>179</v>
      </c>
      <c r="D70" s="135">
        <v>24</v>
      </c>
      <c r="E70" s="239">
        <v>0</v>
      </c>
      <c r="F70" s="133">
        <f t="shared" si="3"/>
        <v>0</v>
      </c>
    </row>
    <row r="71" spans="1:6" ht="15.6">
      <c r="A71" s="128"/>
      <c r="B71" s="134" t="s">
        <v>231</v>
      </c>
      <c r="C71" s="113" t="s">
        <v>232</v>
      </c>
      <c r="D71" s="137">
        <v>1536</v>
      </c>
      <c r="E71" s="239">
        <v>0</v>
      </c>
      <c r="F71" s="133">
        <f t="shared" si="3"/>
        <v>0</v>
      </c>
    </row>
    <row r="72" spans="1:6">
      <c r="F72" s="28">
        <f>SUM(F67:F71)</f>
        <v>0</v>
      </c>
    </row>
    <row r="74" spans="1:6" ht="15.6">
      <c r="A74" s="126">
        <v>4</v>
      </c>
      <c r="B74" s="127" t="s">
        <v>233</v>
      </c>
      <c r="C74" s="131"/>
      <c r="D74" s="142"/>
      <c r="E74" s="136"/>
      <c r="F74" s="137"/>
    </row>
    <row r="75" spans="1:6">
      <c r="A75" s="143"/>
      <c r="B75" s="46"/>
      <c r="C75" s="113"/>
      <c r="D75" s="144"/>
      <c r="E75" s="136"/>
      <c r="F75" s="137"/>
    </row>
    <row r="76" spans="1:6">
      <c r="A76" s="145"/>
      <c r="B76" s="134" t="s">
        <v>234</v>
      </c>
      <c r="C76" s="113" t="s">
        <v>179</v>
      </c>
      <c r="D76" s="146">
        <v>64</v>
      </c>
      <c r="E76" s="239">
        <v>0</v>
      </c>
      <c r="F76" s="137">
        <f>E76*D76</f>
        <v>0</v>
      </c>
    </row>
    <row r="77" spans="1:6">
      <c r="A77" s="113"/>
      <c r="B77" s="134" t="s">
        <v>235</v>
      </c>
      <c r="C77" s="113" t="s">
        <v>179</v>
      </c>
      <c r="D77" s="148">
        <v>4</v>
      </c>
      <c r="E77" s="239">
        <v>0</v>
      </c>
      <c r="F77" s="137">
        <f t="shared" ref="F77:F86" si="4">E77*D77</f>
        <v>0</v>
      </c>
    </row>
    <row r="78" spans="1:6">
      <c r="A78" s="145"/>
      <c r="B78" s="134" t="s">
        <v>236</v>
      </c>
      <c r="C78" s="113" t="s">
        <v>179</v>
      </c>
      <c r="D78" s="148">
        <v>4</v>
      </c>
      <c r="E78" s="239">
        <v>0</v>
      </c>
      <c r="F78" s="137">
        <f t="shared" si="4"/>
        <v>0</v>
      </c>
    </row>
    <row r="79" spans="1:6">
      <c r="A79" s="113"/>
      <c r="B79" s="134" t="s">
        <v>237</v>
      </c>
      <c r="C79" s="113" t="s">
        <v>179</v>
      </c>
      <c r="D79" s="148">
        <v>4</v>
      </c>
      <c r="E79" s="239">
        <v>0</v>
      </c>
      <c r="F79" s="137">
        <f t="shared" si="4"/>
        <v>0</v>
      </c>
    </row>
    <row r="80" spans="1:6">
      <c r="A80" s="113"/>
      <c r="B80" s="134" t="s">
        <v>238</v>
      </c>
      <c r="C80" s="113" t="s">
        <v>179</v>
      </c>
      <c r="D80" s="148">
        <v>4</v>
      </c>
      <c r="E80" s="239">
        <v>0</v>
      </c>
      <c r="F80" s="137">
        <f t="shared" si="4"/>
        <v>0</v>
      </c>
    </row>
    <row r="81" spans="1:6">
      <c r="A81" s="113"/>
      <c r="B81" s="134" t="s">
        <v>239</v>
      </c>
      <c r="C81" s="113" t="s">
        <v>179</v>
      </c>
      <c r="D81" s="148">
        <v>1</v>
      </c>
      <c r="E81" s="239">
        <v>0</v>
      </c>
      <c r="F81" s="137">
        <f t="shared" si="4"/>
        <v>0</v>
      </c>
    </row>
    <row r="82" spans="1:6">
      <c r="A82" s="113"/>
      <c r="B82" s="134" t="s">
        <v>240</v>
      </c>
      <c r="C82" s="113" t="s">
        <v>131</v>
      </c>
      <c r="D82" s="148">
        <v>1200</v>
      </c>
      <c r="E82" s="239">
        <v>0</v>
      </c>
      <c r="F82" s="137">
        <f t="shared" si="4"/>
        <v>0</v>
      </c>
    </row>
    <row r="83" spans="1:6">
      <c r="A83" s="113"/>
      <c r="B83" s="134"/>
      <c r="C83" s="113"/>
      <c r="D83" s="148"/>
      <c r="E83" s="147"/>
      <c r="F83" s="137"/>
    </row>
    <row r="84" spans="1:6">
      <c r="A84" s="145"/>
      <c r="B84" s="138" t="s">
        <v>241</v>
      </c>
      <c r="C84" s="113"/>
      <c r="D84" s="144"/>
      <c r="E84" s="136"/>
      <c r="F84" s="137"/>
    </row>
    <row r="85" spans="1:6">
      <c r="A85" s="145"/>
      <c r="B85" s="108" t="s">
        <v>242</v>
      </c>
      <c r="C85" s="120" t="s">
        <v>179</v>
      </c>
      <c r="D85" s="114">
        <v>1</v>
      </c>
      <c r="E85" s="239">
        <v>0</v>
      </c>
      <c r="F85" s="133">
        <f t="shared" si="4"/>
        <v>0</v>
      </c>
    </row>
    <row r="86" spans="1:6">
      <c r="A86" s="145"/>
      <c r="B86" s="108" t="s">
        <v>243</v>
      </c>
      <c r="C86" s="120" t="s">
        <v>244</v>
      </c>
      <c r="D86" s="114">
        <v>1</v>
      </c>
      <c r="E86" s="239">
        <v>0</v>
      </c>
      <c r="F86" s="133">
        <f t="shared" si="4"/>
        <v>0</v>
      </c>
    </row>
    <row r="87" spans="1:6">
      <c r="F87" s="28">
        <f>SUM(F76:F86)</f>
        <v>0</v>
      </c>
    </row>
    <row r="89" spans="1:6" ht="15.6">
      <c r="A89" s="81"/>
      <c r="B89" s="82"/>
      <c r="C89" s="131"/>
      <c r="D89" s="142"/>
      <c r="E89" s="136"/>
      <c r="F89" s="137"/>
    </row>
    <row r="90" spans="1:6" ht="15.6">
      <c r="A90" s="126">
        <v>5</v>
      </c>
      <c r="B90" s="127" t="s">
        <v>245</v>
      </c>
      <c r="C90" s="131"/>
      <c r="D90" s="142"/>
      <c r="E90" s="136"/>
      <c r="F90" s="137"/>
    </row>
    <row r="91" spans="1:6" ht="15.6">
      <c r="A91" s="149"/>
      <c r="B91" s="134" t="s">
        <v>246</v>
      </c>
      <c r="C91" s="113" t="s">
        <v>247</v>
      </c>
      <c r="D91" s="135">
        <v>6</v>
      </c>
      <c r="E91" s="239">
        <v>0</v>
      </c>
      <c r="F91" s="150">
        <f t="shared" ref="F91:F95" si="5">E91*D91</f>
        <v>0</v>
      </c>
    </row>
    <row r="92" spans="1:6" ht="15.6">
      <c r="A92" s="149"/>
      <c r="B92" s="108" t="s">
        <v>248</v>
      </c>
      <c r="C92" s="120" t="s">
        <v>131</v>
      </c>
      <c r="D92" s="118">
        <v>1200</v>
      </c>
      <c r="E92" s="239">
        <v>0</v>
      </c>
      <c r="F92" s="150">
        <f t="shared" si="5"/>
        <v>0</v>
      </c>
    </row>
    <row r="93" spans="1:6" ht="15.6">
      <c r="A93" s="149"/>
      <c r="B93" s="108" t="s">
        <v>240</v>
      </c>
      <c r="C93" s="120" t="s">
        <v>131</v>
      </c>
      <c r="D93" s="118">
        <v>1200</v>
      </c>
      <c r="E93" s="239">
        <v>0</v>
      </c>
      <c r="F93" s="150">
        <f t="shared" si="5"/>
        <v>0</v>
      </c>
    </row>
    <row r="94" spans="1:6" ht="15.6">
      <c r="A94" s="149"/>
      <c r="B94" s="108" t="s">
        <v>249</v>
      </c>
      <c r="C94" s="120" t="s">
        <v>179</v>
      </c>
      <c r="D94" s="121">
        <v>8</v>
      </c>
      <c r="E94" s="239">
        <v>0</v>
      </c>
      <c r="F94" s="150">
        <f t="shared" si="5"/>
        <v>0</v>
      </c>
    </row>
    <row r="95" spans="1:6" ht="15.6">
      <c r="A95" s="149"/>
      <c r="B95" s="108" t="s">
        <v>250</v>
      </c>
      <c r="C95" s="120" t="s">
        <v>179</v>
      </c>
      <c r="D95" s="121">
        <v>4</v>
      </c>
      <c r="E95" s="239">
        <v>0</v>
      </c>
      <c r="F95" s="150">
        <f t="shared" si="5"/>
        <v>0</v>
      </c>
    </row>
    <row r="96" spans="1:6">
      <c r="F96" s="28">
        <f>SUM(F91:F95)</f>
        <v>0</v>
      </c>
    </row>
    <row r="98" spans="1:7" ht="15.6">
      <c r="A98" s="126">
        <v>7</v>
      </c>
      <c r="B98" s="127" t="s">
        <v>251</v>
      </c>
      <c r="C98" s="82"/>
      <c r="D98" s="82"/>
      <c r="E98" s="81"/>
      <c r="F98" s="82"/>
    </row>
    <row r="99" spans="1:7" ht="15.6">
      <c r="A99" s="128"/>
      <c r="B99" s="139" t="s">
        <v>252</v>
      </c>
      <c r="C99" s="113"/>
      <c r="D99" s="140"/>
      <c r="E99" s="141"/>
      <c r="F99" s="133"/>
    </row>
    <row r="100" spans="1:7" ht="15.6">
      <c r="A100" s="128"/>
      <c r="B100" s="139"/>
      <c r="C100" s="113"/>
      <c r="D100" s="140"/>
      <c r="E100" s="141"/>
      <c r="F100" s="133"/>
    </row>
    <row r="101" spans="1:7" ht="15.6">
      <c r="A101" s="128"/>
      <c r="B101" s="129" t="s">
        <v>253</v>
      </c>
      <c r="C101" s="113"/>
      <c r="D101" s="140"/>
      <c r="E101" s="141"/>
      <c r="F101" s="133"/>
    </row>
    <row r="102" spans="1:7" ht="15.6">
      <c r="A102" s="128"/>
      <c r="B102" s="129" t="s">
        <v>254</v>
      </c>
      <c r="C102" s="113"/>
      <c r="D102" s="140"/>
      <c r="E102" s="141"/>
      <c r="F102" s="133"/>
    </row>
    <row r="103" spans="1:7" ht="15.6">
      <c r="A103" s="128"/>
      <c r="B103" s="134" t="s">
        <v>255</v>
      </c>
      <c r="C103" s="113" t="s">
        <v>179</v>
      </c>
      <c r="D103" s="135">
        <f>4*2</f>
        <v>8</v>
      </c>
      <c r="E103" s="239">
        <v>0</v>
      </c>
      <c r="F103" s="133">
        <f t="shared" ref="F103:F107" si="6">E103*D103</f>
        <v>0</v>
      </c>
      <c r="G103" s="34"/>
    </row>
    <row r="104" spans="1:7" ht="15.6">
      <c r="A104" s="128"/>
      <c r="B104" s="134" t="s">
        <v>230</v>
      </c>
      <c r="C104" s="113" t="s">
        <v>179</v>
      </c>
      <c r="D104" s="135">
        <f>4*2</f>
        <v>8</v>
      </c>
      <c r="E104" s="239">
        <v>0</v>
      </c>
      <c r="F104" s="133">
        <f t="shared" si="6"/>
        <v>0</v>
      </c>
      <c r="G104" s="34"/>
    </row>
    <row r="105" spans="1:7" ht="15.6">
      <c r="A105" s="128"/>
      <c r="B105" s="134" t="s">
        <v>256</v>
      </c>
      <c r="C105" s="113" t="s">
        <v>179</v>
      </c>
      <c r="D105" s="137">
        <f>4*2</f>
        <v>8</v>
      </c>
      <c r="E105" s="239">
        <v>0</v>
      </c>
      <c r="F105" s="133">
        <f>E105*D105</f>
        <v>0</v>
      </c>
      <c r="G105" s="34"/>
    </row>
    <row r="106" spans="1:7" ht="15.6">
      <c r="A106" s="128"/>
      <c r="B106" s="134" t="s">
        <v>209</v>
      </c>
      <c r="C106" s="113" t="s">
        <v>179</v>
      </c>
      <c r="D106" s="135">
        <f>1*2</f>
        <v>2</v>
      </c>
      <c r="E106" s="239">
        <v>0</v>
      </c>
      <c r="F106" s="133">
        <f t="shared" si="6"/>
        <v>0</v>
      </c>
      <c r="G106" s="34"/>
    </row>
    <row r="107" spans="1:7" ht="15.6">
      <c r="A107" s="128"/>
      <c r="B107" s="134" t="s">
        <v>210</v>
      </c>
      <c r="C107" s="113" t="s">
        <v>179</v>
      </c>
      <c r="D107" s="135">
        <f>1*2</f>
        <v>2</v>
      </c>
      <c r="E107" s="239">
        <v>0</v>
      </c>
      <c r="F107" s="133">
        <f t="shared" si="6"/>
        <v>0</v>
      </c>
      <c r="G107" s="34"/>
    </row>
    <row r="108" spans="1:7" ht="15.6">
      <c r="A108" s="151"/>
      <c r="B108" s="152"/>
      <c r="C108" s="153"/>
      <c r="D108" s="154"/>
      <c r="E108" s="155"/>
      <c r="F108" s="156"/>
      <c r="G108" s="34"/>
    </row>
    <row r="110" spans="1:7" ht="15.6">
      <c r="A110" s="126"/>
      <c r="B110" s="127" t="s">
        <v>251</v>
      </c>
      <c r="C110" s="82"/>
      <c r="D110" s="82"/>
      <c r="E110" s="81"/>
      <c r="F110" s="82"/>
    </row>
    <row r="111" spans="1:7" ht="15.6">
      <c r="A111" s="128"/>
      <c r="B111" s="139" t="s">
        <v>252</v>
      </c>
      <c r="C111" s="113"/>
      <c r="D111" s="140"/>
      <c r="E111" s="141"/>
      <c r="F111" s="133"/>
    </row>
    <row r="112" spans="1:7" ht="15.6">
      <c r="A112" s="128"/>
      <c r="B112" s="139"/>
      <c r="C112" s="113"/>
      <c r="D112" s="140"/>
      <c r="E112" s="141"/>
      <c r="F112" s="133"/>
    </row>
    <row r="113" spans="1:7" ht="15.6">
      <c r="A113" s="128"/>
      <c r="B113" s="129" t="s">
        <v>257</v>
      </c>
      <c r="C113" s="113"/>
      <c r="D113" s="140"/>
      <c r="E113" s="141"/>
      <c r="F113" s="133"/>
    </row>
    <row r="114" spans="1:7" ht="15.6">
      <c r="A114" s="128"/>
      <c r="B114" s="134" t="s">
        <v>255</v>
      </c>
      <c r="C114" s="113" t="s">
        <v>179</v>
      </c>
      <c r="D114" s="135">
        <f>4*6</f>
        <v>24</v>
      </c>
      <c r="E114" s="239">
        <v>0</v>
      </c>
      <c r="F114" s="133">
        <f t="shared" ref="F114:F115" si="7">E114*D114</f>
        <v>0</v>
      </c>
      <c r="G114" s="34"/>
    </row>
    <row r="115" spans="1:7" ht="15.6">
      <c r="A115" s="128"/>
      <c r="B115" s="134" t="s">
        <v>230</v>
      </c>
      <c r="C115" s="113" t="s">
        <v>179</v>
      </c>
      <c r="D115" s="135">
        <f>4*6</f>
        <v>24</v>
      </c>
      <c r="E115" s="239">
        <v>0</v>
      </c>
      <c r="F115" s="133">
        <f t="shared" si="7"/>
        <v>0</v>
      </c>
      <c r="G115" s="34"/>
    </row>
    <row r="116" spans="1:7" ht="15.6">
      <c r="A116" s="128"/>
      <c r="B116" s="134" t="s">
        <v>256</v>
      </c>
      <c r="C116" s="113" t="s">
        <v>179</v>
      </c>
      <c r="D116" s="137">
        <f>4*6</f>
        <v>24</v>
      </c>
      <c r="E116" s="239">
        <v>0</v>
      </c>
      <c r="F116" s="133">
        <f>E116*D116</f>
        <v>0</v>
      </c>
      <c r="G116" s="34"/>
    </row>
    <row r="117" spans="1:7" ht="15.6">
      <c r="A117" s="128"/>
      <c r="B117" s="134" t="s">
        <v>209</v>
      </c>
      <c r="C117" s="113" t="s">
        <v>179</v>
      </c>
      <c r="D117" s="135">
        <f>1*6</f>
        <v>6</v>
      </c>
      <c r="E117" s="239">
        <v>0</v>
      </c>
      <c r="F117" s="133">
        <f t="shared" ref="F117:F118" si="8">E117*D117</f>
        <v>0</v>
      </c>
      <c r="G117" s="34"/>
    </row>
    <row r="118" spans="1:7" ht="15.6">
      <c r="A118" s="128"/>
      <c r="B118" s="134" t="s">
        <v>210</v>
      </c>
      <c r="C118" s="113" t="s">
        <v>179</v>
      </c>
      <c r="D118" s="135">
        <f>1*6</f>
        <v>6</v>
      </c>
      <c r="E118" s="239">
        <v>0</v>
      </c>
      <c r="F118" s="133">
        <f t="shared" si="8"/>
        <v>0</v>
      </c>
      <c r="G118" s="34"/>
    </row>
    <row r="119" spans="1:7" ht="15.6">
      <c r="A119" s="151"/>
      <c r="B119" s="152"/>
      <c r="C119" s="153"/>
      <c r="D119" s="154"/>
      <c r="E119" s="157"/>
      <c r="F119" s="158">
        <f>SUM(F103:F118)</f>
        <v>0</v>
      </c>
      <c r="G119" s="34"/>
    </row>
    <row r="121" spans="1:7" ht="15.6">
      <c r="A121" s="126">
        <v>8</v>
      </c>
      <c r="B121" s="127" t="s">
        <v>258</v>
      </c>
      <c r="C121" s="113"/>
      <c r="D121" s="140"/>
      <c r="E121" s="136"/>
      <c r="F121" s="133"/>
    </row>
    <row r="122" spans="1:7">
      <c r="A122" s="145"/>
      <c r="B122" s="46" t="s">
        <v>259</v>
      </c>
      <c r="C122" s="113"/>
      <c r="D122" s="140"/>
      <c r="E122" s="136"/>
      <c r="F122" s="133"/>
    </row>
    <row r="123" spans="1:7">
      <c r="A123" s="145"/>
      <c r="C123" s="113"/>
      <c r="D123" s="140"/>
      <c r="E123" s="136"/>
      <c r="F123" s="133"/>
    </row>
    <row r="124" spans="1:7">
      <c r="A124" s="145"/>
      <c r="B124" s="129" t="s">
        <v>260</v>
      </c>
      <c r="C124" s="113"/>
      <c r="D124" s="140"/>
      <c r="E124" s="136"/>
      <c r="F124" s="133"/>
    </row>
    <row r="125" spans="1:7">
      <c r="A125" s="145"/>
      <c r="B125" s="129"/>
      <c r="C125" s="113"/>
      <c r="D125" s="140"/>
      <c r="E125" s="136"/>
      <c r="F125" s="133"/>
    </row>
    <row r="126" spans="1:7">
      <c r="A126" s="145"/>
      <c r="B126" s="46" t="s">
        <v>261</v>
      </c>
      <c r="C126" s="113" t="s">
        <v>179</v>
      </c>
      <c r="D126" s="144">
        <v>1</v>
      </c>
      <c r="E126" s="239">
        <v>0</v>
      </c>
      <c r="F126" s="133">
        <f t="shared" ref="F126:F132" si="9">E126*D126</f>
        <v>0</v>
      </c>
    </row>
    <row r="127" spans="1:7">
      <c r="A127" s="145"/>
      <c r="B127" s="46" t="s">
        <v>230</v>
      </c>
      <c r="C127" s="113" t="s">
        <v>179</v>
      </c>
      <c r="D127" s="144">
        <v>20</v>
      </c>
      <c r="E127" s="239">
        <v>0</v>
      </c>
      <c r="F127" s="133">
        <f t="shared" si="9"/>
        <v>0</v>
      </c>
    </row>
    <row r="128" spans="1:7">
      <c r="A128" s="145"/>
      <c r="B128" s="46" t="s">
        <v>262</v>
      </c>
      <c r="C128" s="113" t="s">
        <v>179</v>
      </c>
      <c r="D128" s="144">
        <v>1</v>
      </c>
      <c r="E128" s="239">
        <v>0</v>
      </c>
      <c r="F128" s="133">
        <f t="shared" si="9"/>
        <v>0</v>
      </c>
    </row>
    <row r="129" spans="1:6">
      <c r="A129" s="145"/>
      <c r="B129" s="46" t="s">
        <v>263</v>
      </c>
      <c r="C129" s="113" t="s">
        <v>179</v>
      </c>
      <c r="D129" s="144">
        <v>1</v>
      </c>
      <c r="E129" s="239">
        <v>0</v>
      </c>
      <c r="F129" s="133">
        <f t="shared" si="9"/>
        <v>0</v>
      </c>
    </row>
    <row r="130" spans="1:6">
      <c r="A130" s="145"/>
      <c r="B130" s="46" t="s">
        <v>264</v>
      </c>
      <c r="C130" s="113" t="s">
        <v>179</v>
      </c>
      <c r="D130" s="144">
        <v>1</v>
      </c>
      <c r="E130" s="239">
        <v>0</v>
      </c>
      <c r="F130" s="133">
        <f t="shared" si="9"/>
        <v>0</v>
      </c>
    </row>
    <row r="131" spans="1:6">
      <c r="A131" s="145"/>
      <c r="B131" s="46" t="s">
        <v>265</v>
      </c>
      <c r="C131" s="113" t="s">
        <v>179</v>
      </c>
      <c r="D131" s="144">
        <v>1</v>
      </c>
      <c r="E131" s="239">
        <v>0</v>
      </c>
      <c r="F131" s="133">
        <f t="shared" si="9"/>
        <v>0</v>
      </c>
    </row>
    <row r="132" spans="1:6" ht="15.6">
      <c r="A132" s="128"/>
      <c r="B132" s="134" t="s">
        <v>266</v>
      </c>
      <c r="C132" s="113" t="s">
        <v>232</v>
      </c>
      <c r="D132" s="135">
        <v>156</v>
      </c>
      <c r="E132" s="239">
        <v>0</v>
      </c>
      <c r="F132" s="133">
        <f t="shared" si="9"/>
        <v>0</v>
      </c>
    </row>
    <row r="133" spans="1:6">
      <c r="F133" s="28">
        <f>SUM(F126:F132)</f>
        <v>0</v>
      </c>
    </row>
    <row r="135" spans="1:6" ht="15.6">
      <c r="A135" s="126">
        <v>9</v>
      </c>
      <c r="B135" s="127" t="s">
        <v>267</v>
      </c>
      <c r="C135" s="113"/>
      <c r="D135" s="140"/>
      <c r="E135" s="136"/>
      <c r="F135" s="133"/>
    </row>
    <row r="136" spans="1:6">
      <c r="A136" s="145"/>
      <c r="B136" s="46" t="s">
        <v>268</v>
      </c>
      <c r="C136" s="113"/>
      <c r="D136" s="140"/>
      <c r="E136" s="136"/>
      <c r="F136" s="133"/>
    </row>
    <row r="137" spans="1:6">
      <c r="A137" s="145"/>
      <c r="C137" s="113"/>
      <c r="D137" s="140"/>
      <c r="E137" s="136"/>
      <c r="F137" s="133"/>
    </row>
    <row r="138" spans="1:6">
      <c r="A138" s="145"/>
      <c r="B138" s="129" t="s">
        <v>269</v>
      </c>
      <c r="C138" s="113"/>
      <c r="D138" s="140"/>
      <c r="E138" s="136"/>
      <c r="F138" s="133"/>
    </row>
    <row r="139" spans="1:6">
      <c r="A139" s="145"/>
      <c r="B139" s="129" t="s">
        <v>270</v>
      </c>
      <c r="C139" s="113"/>
      <c r="D139" s="140"/>
      <c r="E139" s="136"/>
      <c r="F139" s="133"/>
    </row>
    <row r="140" spans="1:6">
      <c r="A140" s="145"/>
      <c r="B140" s="46" t="s">
        <v>271</v>
      </c>
      <c r="C140" s="113" t="s">
        <v>179</v>
      </c>
      <c r="D140" s="144">
        <v>1</v>
      </c>
      <c r="E140" s="239">
        <v>0</v>
      </c>
      <c r="F140" s="133">
        <f t="shared" ref="F140:F146" si="10">E140*D140</f>
        <v>0</v>
      </c>
    </row>
    <row r="141" spans="1:6">
      <c r="A141" s="145"/>
      <c r="B141" s="46" t="s">
        <v>230</v>
      </c>
      <c r="C141" s="113" t="s">
        <v>179</v>
      </c>
      <c r="D141" s="144">
        <v>40</v>
      </c>
      <c r="E141" s="239">
        <v>0</v>
      </c>
      <c r="F141" s="133">
        <f t="shared" si="10"/>
        <v>0</v>
      </c>
    </row>
    <row r="142" spans="1:6">
      <c r="A142" s="145"/>
      <c r="B142" s="46" t="s">
        <v>262</v>
      </c>
      <c r="C142" s="113" t="s">
        <v>179</v>
      </c>
      <c r="D142" s="144">
        <v>1</v>
      </c>
      <c r="E142" s="239">
        <v>0</v>
      </c>
      <c r="F142" s="133">
        <f t="shared" si="10"/>
        <v>0</v>
      </c>
    </row>
    <row r="143" spans="1:6">
      <c r="A143" s="145"/>
      <c r="B143" s="46" t="s">
        <v>263</v>
      </c>
      <c r="C143" s="113" t="s">
        <v>179</v>
      </c>
      <c r="D143" s="144">
        <v>1</v>
      </c>
      <c r="E143" s="239">
        <v>0</v>
      </c>
      <c r="F143" s="133">
        <f t="shared" si="10"/>
        <v>0</v>
      </c>
    </row>
    <row r="144" spans="1:6">
      <c r="A144" s="145"/>
      <c r="B144" s="46" t="s">
        <v>272</v>
      </c>
      <c r="C144" s="113" t="s">
        <v>179</v>
      </c>
      <c r="D144" s="144">
        <v>1</v>
      </c>
      <c r="E144" s="239">
        <v>0</v>
      </c>
      <c r="F144" s="133">
        <f t="shared" si="10"/>
        <v>0</v>
      </c>
    </row>
    <row r="145" spans="1:6">
      <c r="A145" s="145"/>
      <c r="B145" s="46" t="s">
        <v>265</v>
      </c>
      <c r="C145" s="113" t="s">
        <v>179</v>
      </c>
      <c r="D145" s="144">
        <v>1</v>
      </c>
      <c r="E145" s="239">
        <v>0</v>
      </c>
      <c r="F145" s="133">
        <f t="shared" si="10"/>
        <v>0</v>
      </c>
    </row>
    <row r="146" spans="1:6" ht="15.6">
      <c r="A146" s="128"/>
      <c r="B146" s="134" t="s">
        <v>266</v>
      </c>
      <c r="C146" s="113" t="s">
        <v>232</v>
      </c>
      <c r="D146" s="135">
        <v>156</v>
      </c>
      <c r="E146" s="239">
        <v>0</v>
      </c>
      <c r="F146" s="133">
        <f t="shared" si="10"/>
        <v>0</v>
      </c>
    </row>
    <row r="147" spans="1:6">
      <c r="A147" s="159"/>
      <c r="C147" s="153"/>
      <c r="D147" s="160"/>
      <c r="E147" s="157"/>
      <c r="F147" s="158">
        <f>SUM(F140:F146)</f>
        <v>0</v>
      </c>
    </row>
    <row r="150" spans="1:6" ht="15.6">
      <c r="A150" s="126">
        <v>10</v>
      </c>
      <c r="B150" s="127" t="s">
        <v>273</v>
      </c>
      <c r="C150" s="113"/>
      <c r="D150" s="140"/>
      <c r="E150" s="136"/>
      <c r="F150" s="133"/>
    </row>
    <row r="151" spans="1:6">
      <c r="A151" s="145"/>
      <c r="B151" s="46" t="s">
        <v>274</v>
      </c>
      <c r="C151" s="113"/>
      <c r="D151" s="140"/>
      <c r="E151" s="136"/>
      <c r="F151" s="133"/>
    </row>
    <row r="152" spans="1:6">
      <c r="A152" s="145"/>
      <c r="C152" s="113"/>
      <c r="D152" s="140"/>
      <c r="E152" s="136"/>
      <c r="F152" s="133"/>
    </row>
    <row r="153" spans="1:6">
      <c r="A153" s="145"/>
      <c r="B153" s="129" t="s">
        <v>275</v>
      </c>
      <c r="C153" s="113"/>
      <c r="D153" s="140"/>
      <c r="E153" s="136"/>
      <c r="F153" s="133"/>
    </row>
    <row r="154" spans="1:6">
      <c r="A154" s="145"/>
      <c r="B154" s="46"/>
      <c r="C154" s="113"/>
      <c r="D154" s="140"/>
      <c r="E154" s="136"/>
      <c r="F154" s="133"/>
    </row>
    <row r="155" spans="1:6">
      <c r="A155" s="145"/>
      <c r="B155" s="46" t="s">
        <v>276</v>
      </c>
      <c r="C155" s="113" t="s">
        <v>277</v>
      </c>
      <c r="D155" s="144">
        <v>3</v>
      </c>
      <c r="E155" s="239">
        <v>0</v>
      </c>
      <c r="F155" s="133">
        <f t="shared" ref="F155" si="11">E155*D155</f>
        <v>0</v>
      </c>
    </row>
    <row r="156" spans="1:6">
      <c r="F156" s="28">
        <f>SUM(F155)</f>
        <v>0</v>
      </c>
    </row>
    <row r="158" spans="1:6" ht="15.6">
      <c r="A158" s="126">
        <v>10</v>
      </c>
      <c r="B158" s="127" t="s">
        <v>278</v>
      </c>
      <c r="C158" s="113"/>
      <c r="D158" s="140"/>
      <c r="E158" s="136"/>
      <c r="F158" s="133"/>
    </row>
    <row r="159" spans="1:6">
      <c r="A159" s="145"/>
      <c r="B159" s="46" t="s">
        <v>279</v>
      </c>
      <c r="C159" s="113"/>
      <c r="D159" s="140"/>
      <c r="E159" s="136"/>
      <c r="F159" s="133"/>
    </row>
    <row r="160" spans="1:6">
      <c r="A160" s="145"/>
      <c r="C160" s="113"/>
      <c r="D160" s="140"/>
      <c r="E160" s="136"/>
      <c r="F160" s="133"/>
    </row>
    <row r="161" spans="1:7">
      <c r="A161" s="145"/>
      <c r="B161" s="129" t="s">
        <v>280</v>
      </c>
      <c r="C161" s="113"/>
      <c r="D161" s="140"/>
      <c r="E161" s="136"/>
      <c r="F161" s="133"/>
    </row>
    <row r="162" spans="1:7">
      <c r="A162" s="145"/>
      <c r="B162" s="46"/>
      <c r="C162" s="113"/>
      <c r="D162" s="140"/>
      <c r="E162" s="136"/>
      <c r="F162" s="133"/>
    </row>
    <row r="163" spans="1:7">
      <c r="A163" s="145"/>
      <c r="B163" s="46" t="s">
        <v>281</v>
      </c>
      <c r="C163" s="113" t="s">
        <v>179</v>
      </c>
      <c r="D163" s="144">
        <v>4</v>
      </c>
      <c r="E163" s="239">
        <v>0</v>
      </c>
      <c r="F163" s="133">
        <f t="shared" ref="F163:F165" si="12">E163*D163</f>
        <v>0</v>
      </c>
    </row>
    <row r="164" spans="1:7">
      <c r="A164" s="145"/>
      <c r="B164" s="46" t="s">
        <v>282</v>
      </c>
      <c r="C164" s="113" t="s">
        <v>179</v>
      </c>
      <c r="D164" s="144">
        <v>1</v>
      </c>
      <c r="E164" s="239">
        <v>0</v>
      </c>
      <c r="F164" s="133">
        <f t="shared" si="12"/>
        <v>0</v>
      </c>
    </row>
    <row r="165" spans="1:7">
      <c r="A165" s="145"/>
      <c r="B165" s="46" t="s">
        <v>283</v>
      </c>
      <c r="C165" s="113" t="s">
        <v>179</v>
      </c>
      <c r="D165" s="144">
        <v>1</v>
      </c>
      <c r="E165" s="239">
        <v>0</v>
      </c>
      <c r="F165" s="133">
        <f t="shared" si="12"/>
        <v>0</v>
      </c>
    </row>
    <row r="166" spans="1:7">
      <c r="A166" s="159"/>
      <c r="C166" s="153"/>
      <c r="D166" s="160"/>
      <c r="E166" s="157"/>
      <c r="F166" s="158">
        <f>SUM(F163:F165)</f>
        <v>0</v>
      </c>
    </row>
    <row r="168" spans="1:7" ht="15.6">
      <c r="A168" s="126">
        <v>11</v>
      </c>
      <c r="B168" s="127" t="s">
        <v>284</v>
      </c>
      <c r="C168" s="113"/>
      <c r="D168" s="140"/>
      <c r="E168" s="136"/>
      <c r="F168" s="133"/>
    </row>
    <row r="169" spans="1:7" ht="15.6">
      <c r="A169" s="128"/>
      <c r="B169" s="134" t="s">
        <v>285</v>
      </c>
      <c r="C169" s="113"/>
      <c r="D169" s="142"/>
      <c r="E169" s="141"/>
      <c r="F169" s="133"/>
    </row>
    <row r="170" spans="1:7" ht="15.6">
      <c r="A170" s="128"/>
      <c r="B170" s="129" t="s">
        <v>286</v>
      </c>
      <c r="C170" s="113"/>
      <c r="D170" s="142"/>
      <c r="E170" s="141"/>
      <c r="F170" s="133"/>
    </row>
    <row r="171" spans="1:7" ht="15.6">
      <c r="A171" s="128"/>
      <c r="B171" s="129"/>
      <c r="C171" s="113"/>
      <c r="D171" s="142"/>
      <c r="E171" s="141"/>
      <c r="F171" s="133"/>
    </row>
    <row r="172" spans="1:7" ht="15.6">
      <c r="A172" s="128"/>
      <c r="B172" s="134" t="s">
        <v>287</v>
      </c>
      <c r="C172" s="113" t="s">
        <v>179</v>
      </c>
      <c r="D172" s="135">
        <v>12</v>
      </c>
      <c r="E172" s="239">
        <v>0</v>
      </c>
      <c r="F172" s="133">
        <f t="shared" ref="F172:F182" si="13">E172*D172</f>
        <v>0</v>
      </c>
      <c r="G172" s="34"/>
    </row>
    <row r="173" spans="1:7" ht="15.6">
      <c r="A173" s="128"/>
      <c r="B173" s="134" t="s">
        <v>288</v>
      </c>
      <c r="C173" s="113" t="s">
        <v>179</v>
      </c>
      <c r="D173" s="137">
        <v>24</v>
      </c>
      <c r="E173" s="239">
        <v>0</v>
      </c>
      <c r="F173" s="133">
        <f t="shared" si="13"/>
        <v>0</v>
      </c>
      <c r="G173" s="34"/>
    </row>
    <row r="174" spans="1:7" ht="15.6">
      <c r="A174" s="128"/>
      <c r="B174" s="134" t="s">
        <v>289</v>
      </c>
      <c r="C174" s="113" t="s">
        <v>179</v>
      </c>
      <c r="D174" s="135">
        <v>2</v>
      </c>
      <c r="E174" s="239">
        <v>0</v>
      </c>
      <c r="F174" s="133">
        <f t="shared" si="13"/>
        <v>0</v>
      </c>
      <c r="G174" s="34"/>
    </row>
    <row r="175" spans="1:7" ht="15.6">
      <c r="A175" s="128"/>
      <c r="B175" s="134" t="s">
        <v>290</v>
      </c>
      <c r="C175" s="113" t="s">
        <v>179</v>
      </c>
      <c r="D175" s="135">
        <v>2</v>
      </c>
      <c r="E175" s="239">
        <v>0</v>
      </c>
      <c r="F175" s="133">
        <f t="shared" si="13"/>
        <v>0</v>
      </c>
      <c r="G175" s="34"/>
    </row>
    <row r="176" spans="1:7" ht="15.6">
      <c r="A176" s="128"/>
      <c r="B176" s="134" t="s">
        <v>291</v>
      </c>
      <c r="C176" s="113" t="s">
        <v>179</v>
      </c>
      <c r="D176" s="135">
        <v>8</v>
      </c>
      <c r="E176" s="239">
        <v>0</v>
      </c>
      <c r="F176" s="133">
        <f t="shared" si="13"/>
        <v>0</v>
      </c>
      <c r="G176" s="34"/>
    </row>
    <row r="177" spans="1:7" ht="15.6">
      <c r="A177" s="128"/>
      <c r="B177" s="134" t="s">
        <v>292</v>
      </c>
      <c r="C177" s="113" t="s">
        <v>179</v>
      </c>
      <c r="D177" s="135">
        <v>6</v>
      </c>
      <c r="E177" s="239">
        <v>0</v>
      </c>
      <c r="F177" s="133">
        <f t="shared" si="13"/>
        <v>0</v>
      </c>
      <c r="G177" s="34"/>
    </row>
    <row r="178" spans="1:7" ht="15.6">
      <c r="A178" s="128"/>
      <c r="B178" s="134" t="s">
        <v>293</v>
      </c>
      <c r="C178" s="113" t="s">
        <v>179</v>
      </c>
      <c r="D178" s="137">
        <v>12</v>
      </c>
      <c r="E178" s="239">
        <v>0</v>
      </c>
      <c r="F178" s="133">
        <f t="shared" si="13"/>
        <v>0</v>
      </c>
      <c r="G178" s="34"/>
    </row>
    <row r="179" spans="1:7" ht="15.6">
      <c r="A179" s="128"/>
      <c r="B179" s="134" t="s">
        <v>294</v>
      </c>
      <c r="C179" s="113" t="s">
        <v>179</v>
      </c>
      <c r="D179" s="135">
        <v>2</v>
      </c>
      <c r="E179" s="239">
        <v>0</v>
      </c>
      <c r="F179" s="133">
        <f t="shared" si="13"/>
        <v>0</v>
      </c>
      <c r="G179" s="34"/>
    </row>
    <row r="180" spans="1:7" ht="15.6">
      <c r="A180" s="128"/>
      <c r="B180" s="134" t="s">
        <v>295</v>
      </c>
      <c r="C180" s="113" t="s">
        <v>179</v>
      </c>
      <c r="D180" s="135">
        <v>6</v>
      </c>
      <c r="E180" s="239">
        <v>0</v>
      </c>
      <c r="F180" s="133">
        <f t="shared" si="13"/>
        <v>0</v>
      </c>
      <c r="G180" s="34"/>
    </row>
    <row r="181" spans="1:7" ht="15.6">
      <c r="A181" s="128"/>
      <c r="B181" s="134" t="s">
        <v>296</v>
      </c>
      <c r="C181" s="113" t="s">
        <v>179</v>
      </c>
      <c r="D181" s="135">
        <v>2</v>
      </c>
      <c r="E181" s="239">
        <v>0</v>
      </c>
      <c r="F181" s="133">
        <f t="shared" si="13"/>
        <v>0</v>
      </c>
      <c r="G181" s="34"/>
    </row>
    <row r="182" spans="1:7" ht="15.6">
      <c r="A182" s="128"/>
      <c r="B182" s="134" t="s">
        <v>266</v>
      </c>
      <c r="C182" s="113" t="s">
        <v>232</v>
      </c>
      <c r="D182" s="135">
        <v>468</v>
      </c>
      <c r="E182" s="239">
        <v>0</v>
      </c>
      <c r="F182" s="133">
        <f t="shared" si="13"/>
        <v>0</v>
      </c>
      <c r="G182" s="34"/>
    </row>
    <row r="183" spans="1:7" ht="15.6">
      <c r="A183" s="151"/>
      <c r="B183" s="152"/>
      <c r="C183" s="153"/>
      <c r="D183" s="154"/>
      <c r="E183" s="157"/>
      <c r="F183" s="158">
        <f>SUM(F172:F182)</f>
        <v>0</v>
      </c>
      <c r="G183" s="34"/>
    </row>
    <row r="185" spans="1:7" ht="15.6">
      <c r="A185" s="126">
        <v>12</v>
      </c>
      <c r="B185" s="127" t="s">
        <v>297</v>
      </c>
      <c r="C185" s="113"/>
      <c r="D185" s="140"/>
      <c r="E185" s="136"/>
      <c r="F185" s="133"/>
    </row>
    <row r="186" spans="1:7">
      <c r="A186" s="145"/>
      <c r="B186" s="161" t="s">
        <v>298</v>
      </c>
      <c r="C186" s="113"/>
      <c r="D186" s="140"/>
      <c r="E186" s="136"/>
      <c r="F186" s="133"/>
    </row>
    <row r="187" spans="1:7">
      <c r="A187" s="145"/>
      <c r="B187" s="46" t="s">
        <v>299</v>
      </c>
      <c r="C187" s="113"/>
      <c r="D187" s="140"/>
      <c r="E187" s="136"/>
      <c r="F187" s="133"/>
    </row>
    <row r="188" spans="1:7">
      <c r="A188" s="145"/>
      <c r="B188" s="129" t="s">
        <v>300</v>
      </c>
      <c r="C188" s="113"/>
      <c r="D188" s="140"/>
      <c r="E188" s="136"/>
      <c r="F188" s="133"/>
    </row>
    <row r="189" spans="1:7">
      <c r="A189" s="145"/>
      <c r="B189" s="129" t="s">
        <v>301</v>
      </c>
      <c r="C189" s="113"/>
      <c r="D189" s="144"/>
      <c r="E189" s="136"/>
      <c r="F189" s="133"/>
    </row>
    <row r="190" spans="1:7">
      <c r="A190" s="145"/>
      <c r="B190" s="46" t="s">
        <v>302</v>
      </c>
      <c r="C190" s="113" t="s">
        <v>179</v>
      </c>
      <c r="D190" s="144">
        <v>12</v>
      </c>
      <c r="E190" s="239">
        <v>0</v>
      </c>
      <c r="F190" s="133">
        <f t="shared" ref="F190:F201" si="14">E190*D190</f>
        <v>0</v>
      </c>
    </row>
    <row r="191" spans="1:7">
      <c r="A191" s="145"/>
      <c r="B191" s="46" t="s">
        <v>230</v>
      </c>
      <c r="C191" s="113" t="s">
        <v>179</v>
      </c>
      <c r="D191" s="140">
        <v>24</v>
      </c>
      <c r="E191" s="239">
        <v>0</v>
      </c>
      <c r="F191" s="133">
        <f t="shared" si="14"/>
        <v>0</v>
      </c>
    </row>
    <row r="192" spans="1:7">
      <c r="A192" s="145"/>
      <c r="B192" s="46" t="s">
        <v>303</v>
      </c>
      <c r="C192" s="113" t="s">
        <v>179</v>
      </c>
      <c r="D192" s="140">
        <v>12</v>
      </c>
      <c r="E192" s="239">
        <v>0</v>
      </c>
      <c r="F192" s="133">
        <f t="shared" si="14"/>
        <v>0</v>
      </c>
    </row>
    <row r="193" spans="1:6">
      <c r="A193" s="145"/>
      <c r="B193" s="46" t="s">
        <v>304</v>
      </c>
      <c r="C193" s="113" t="s">
        <v>179</v>
      </c>
      <c r="D193" s="140">
        <v>4</v>
      </c>
      <c r="E193" s="239">
        <v>0</v>
      </c>
      <c r="F193" s="133">
        <f t="shared" si="14"/>
        <v>0</v>
      </c>
    </row>
    <row r="194" spans="1:6">
      <c r="A194" s="145"/>
      <c r="B194" s="46" t="s">
        <v>416</v>
      </c>
      <c r="C194" s="113" t="s">
        <v>179</v>
      </c>
      <c r="D194" s="144">
        <v>1</v>
      </c>
      <c r="E194" s="239">
        <v>0</v>
      </c>
      <c r="F194" s="133">
        <f t="shared" si="14"/>
        <v>0</v>
      </c>
    </row>
    <row r="195" spans="1:6">
      <c r="A195" s="145"/>
      <c r="B195" s="46" t="s">
        <v>305</v>
      </c>
      <c r="C195" s="113" t="s">
        <v>179</v>
      </c>
      <c r="D195" s="144">
        <v>1</v>
      </c>
      <c r="E195" s="239">
        <v>0</v>
      </c>
      <c r="F195" s="133">
        <f t="shared" si="14"/>
        <v>0</v>
      </c>
    </row>
    <row r="196" spans="1:6">
      <c r="A196" s="145"/>
      <c r="B196" s="46" t="s">
        <v>306</v>
      </c>
      <c r="C196" s="113" t="s">
        <v>179</v>
      </c>
      <c r="D196" s="144">
        <v>8</v>
      </c>
      <c r="E196" s="239">
        <v>0</v>
      </c>
      <c r="F196" s="133">
        <f t="shared" si="14"/>
        <v>0</v>
      </c>
    </row>
    <row r="197" spans="1:6">
      <c r="A197" s="145"/>
      <c r="B197" s="46" t="s">
        <v>307</v>
      </c>
      <c r="C197" s="113" t="s">
        <v>179</v>
      </c>
      <c r="D197" s="144">
        <v>1</v>
      </c>
      <c r="E197" s="239">
        <v>0</v>
      </c>
      <c r="F197" s="133">
        <f t="shared" si="14"/>
        <v>0</v>
      </c>
    </row>
    <row r="198" spans="1:6">
      <c r="A198" s="145"/>
      <c r="B198" s="46" t="s">
        <v>308</v>
      </c>
      <c r="C198" s="113" t="s">
        <v>179</v>
      </c>
      <c r="D198" s="144">
        <v>1</v>
      </c>
      <c r="E198" s="239">
        <v>0</v>
      </c>
      <c r="F198" s="133">
        <f t="shared" si="14"/>
        <v>0</v>
      </c>
    </row>
    <row r="199" spans="1:6">
      <c r="A199" s="145"/>
      <c r="B199" s="46" t="s">
        <v>309</v>
      </c>
      <c r="C199" s="113" t="s">
        <v>179</v>
      </c>
      <c r="D199" s="144">
        <v>1</v>
      </c>
      <c r="E199" s="239">
        <v>0</v>
      </c>
      <c r="F199" s="133">
        <f t="shared" si="14"/>
        <v>0</v>
      </c>
    </row>
    <row r="200" spans="1:6">
      <c r="A200" s="145"/>
      <c r="B200" s="46" t="s">
        <v>310</v>
      </c>
      <c r="C200" s="113" t="s">
        <v>179</v>
      </c>
      <c r="D200" s="144">
        <v>1</v>
      </c>
      <c r="E200" s="239">
        <v>0</v>
      </c>
      <c r="F200" s="133">
        <f t="shared" si="14"/>
        <v>0</v>
      </c>
    </row>
    <row r="201" spans="1:6">
      <c r="A201" s="145"/>
      <c r="B201" s="46" t="s">
        <v>231</v>
      </c>
      <c r="C201" s="113" t="s">
        <v>232</v>
      </c>
      <c r="D201" s="135">
        <v>468</v>
      </c>
      <c r="E201" s="239">
        <v>0</v>
      </c>
      <c r="F201" s="133">
        <f t="shared" si="14"/>
        <v>0</v>
      </c>
    </row>
    <row r="202" spans="1:6">
      <c r="A202" s="159"/>
      <c r="C202" s="153"/>
      <c r="D202" s="160"/>
      <c r="E202" s="157"/>
      <c r="F202" s="158">
        <f>SUM(F190:F201)</f>
        <v>0</v>
      </c>
    </row>
    <row r="204" spans="1:6" ht="15.6">
      <c r="A204" s="126">
        <v>13</v>
      </c>
      <c r="B204" s="127" t="s">
        <v>311</v>
      </c>
      <c r="C204" s="113"/>
      <c r="D204" s="140"/>
      <c r="E204" s="136"/>
      <c r="F204" s="133"/>
    </row>
    <row r="205" spans="1:6" ht="15.6">
      <c r="A205" s="128" t="s">
        <v>312</v>
      </c>
      <c r="B205" s="138" t="s">
        <v>313</v>
      </c>
      <c r="C205" s="113"/>
      <c r="D205" s="140"/>
      <c r="E205" s="136"/>
      <c r="F205" s="133"/>
    </row>
    <row r="206" spans="1:6" ht="28.8">
      <c r="A206" s="128"/>
      <c r="B206" s="162" t="s">
        <v>314</v>
      </c>
      <c r="C206" s="113"/>
      <c r="D206" s="140"/>
      <c r="E206" s="136"/>
      <c r="F206" s="133"/>
    </row>
    <row r="207" spans="1:6" ht="15.6">
      <c r="A207" s="128"/>
      <c r="B207" s="129" t="s">
        <v>315</v>
      </c>
      <c r="C207" s="113"/>
      <c r="D207" s="140"/>
      <c r="E207" s="136"/>
      <c r="F207" s="133"/>
    </row>
    <row r="208" spans="1:6" ht="15.6">
      <c r="A208" s="128"/>
      <c r="B208" s="129"/>
      <c r="C208" s="113"/>
      <c r="D208" s="140"/>
      <c r="E208" s="136"/>
      <c r="F208" s="133"/>
    </row>
    <row r="209" spans="1:7" ht="15.6">
      <c r="A209" s="128"/>
      <c r="B209" s="134" t="s">
        <v>316</v>
      </c>
      <c r="C209" s="113" t="s">
        <v>179</v>
      </c>
      <c r="D209" s="140">
        <v>12</v>
      </c>
      <c r="E209" s="239">
        <v>0</v>
      </c>
      <c r="F209" s="133">
        <f t="shared" ref="F209:F214" si="15">E209*D209</f>
        <v>0</v>
      </c>
      <c r="G209" s="163"/>
    </row>
    <row r="210" spans="1:7" ht="15.6">
      <c r="A210" s="128"/>
      <c r="B210" s="134" t="s">
        <v>317</v>
      </c>
      <c r="C210" s="113" t="s">
        <v>179</v>
      </c>
      <c r="D210" s="144">
        <v>6</v>
      </c>
      <c r="E210" s="239">
        <v>0</v>
      </c>
      <c r="F210" s="133">
        <f t="shared" si="15"/>
        <v>0</v>
      </c>
      <c r="G210" s="163"/>
    </row>
    <row r="211" spans="1:7" ht="15.6">
      <c r="A211" s="128"/>
      <c r="B211" s="134" t="s">
        <v>318</v>
      </c>
      <c r="C211" s="113" t="s">
        <v>179</v>
      </c>
      <c r="D211" s="140">
        <v>12</v>
      </c>
      <c r="E211" s="239">
        <v>0</v>
      </c>
      <c r="F211" s="133">
        <f t="shared" si="15"/>
        <v>0</v>
      </c>
      <c r="G211" s="163"/>
    </row>
    <row r="212" spans="1:7" ht="15.6">
      <c r="A212" s="128"/>
      <c r="B212" s="134" t="s">
        <v>319</v>
      </c>
      <c r="C212" s="113" t="s">
        <v>179</v>
      </c>
      <c r="D212" s="144">
        <v>4</v>
      </c>
      <c r="E212" s="239">
        <v>0</v>
      </c>
      <c r="F212" s="133">
        <f t="shared" si="15"/>
        <v>0</v>
      </c>
      <c r="G212" s="163"/>
    </row>
    <row r="213" spans="1:7" ht="15.6">
      <c r="A213" s="128"/>
      <c r="B213" s="134" t="s">
        <v>320</v>
      </c>
      <c r="C213" s="113" t="s">
        <v>179</v>
      </c>
      <c r="D213" s="144">
        <v>6</v>
      </c>
      <c r="E213" s="239">
        <v>0</v>
      </c>
      <c r="F213" s="133">
        <f t="shared" si="15"/>
        <v>0</v>
      </c>
      <c r="G213" s="163"/>
    </row>
    <row r="214" spans="1:7" ht="15.6">
      <c r="A214" s="128"/>
      <c r="B214" s="134" t="s">
        <v>231</v>
      </c>
      <c r="C214" s="113" t="s">
        <v>232</v>
      </c>
      <c r="D214" s="135">
        <v>468</v>
      </c>
      <c r="E214" s="239">
        <v>0</v>
      </c>
      <c r="F214" s="133">
        <f t="shared" si="15"/>
        <v>0</v>
      </c>
      <c r="G214" s="163"/>
    </row>
    <row r="216" spans="1:7" ht="15.6">
      <c r="A216" s="128" t="s">
        <v>321</v>
      </c>
      <c r="B216" s="138" t="s">
        <v>322</v>
      </c>
      <c r="C216" s="113"/>
      <c r="D216" s="140"/>
      <c r="E216" s="136"/>
      <c r="F216" s="133"/>
    </row>
    <row r="217" spans="1:7" ht="28.8">
      <c r="A217" s="128"/>
      <c r="B217" s="162" t="s">
        <v>323</v>
      </c>
      <c r="C217" s="113"/>
      <c r="D217" s="140"/>
      <c r="E217" s="136"/>
      <c r="F217" s="133"/>
    </row>
    <row r="218" spans="1:7" ht="15.6">
      <c r="A218" s="128"/>
      <c r="B218" s="129" t="s">
        <v>324</v>
      </c>
      <c r="C218" s="113"/>
      <c r="D218" s="140"/>
      <c r="E218" s="136"/>
      <c r="F218" s="133"/>
    </row>
    <row r="219" spans="1:7" ht="15.6">
      <c r="A219" s="128"/>
      <c r="B219" s="129"/>
      <c r="C219" s="113"/>
      <c r="D219" s="140"/>
      <c r="E219" s="136"/>
      <c r="F219" s="133"/>
    </row>
    <row r="220" spans="1:7" ht="15.6">
      <c r="A220" s="128"/>
      <c r="B220" s="134" t="s">
        <v>325</v>
      </c>
      <c r="C220" s="113" t="s">
        <v>179</v>
      </c>
      <c r="D220" s="135">
        <v>32</v>
      </c>
      <c r="E220" s="239">
        <v>0</v>
      </c>
      <c r="F220" s="133">
        <f t="shared" ref="F220:F229" si="16">E220*D220</f>
        <v>0</v>
      </c>
    </row>
    <row r="221" spans="1:7" ht="15.6">
      <c r="A221" s="128"/>
      <c r="B221" s="134" t="s">
        <v>230</v>
      </c>
      <c r="C221" s="113" t="s">
        <v>179</v>
      </c>
      <c r="D221" s="135">
        <v>32</v>
      </c>
      <c r="E221" s="239">
        <v>0</v>
      </c>
      <c r="F221" s="133">
        <f t="shared" si="16"/>
        <v>0</v>
      </c>
    </row>
    <row r="222" spans="1:7" ht="15.6">
      <c r="A222" s="128"/>
      <c r="B222" s="134" t="s">
        <v>326</v>
      </c>
      <c r="C222" s="113" t="s">
        <v>179</v>
      </c>
      <c r="D222" s="135">
        <v>1</v>
      </c>
      <c r="E222" s="239">
        <v>0</v>
      </c>
      <c r="F222" s="133">
        <f t="shared" si="16"/>
        <v>0</v>
      </c>
    </row>
    <row r="223" spans="1:7" ht="15.6">
      <c r="A223" s="128"/>
      <c r="B223" s="134" t="s">
        <v>327</v>
      </c>
      <c r="C223" s="113" t="s">
        <v>179</v>
      </c>
      <c r="D223" s="137">
        <v>24</v>
      </c>
      <c r="E223" s="239">
        <v>0</v>
      </c>
      <c r="F223" s="133">
        <f t="shared" si="16"/>
        <v>0</v>
      </c>
    </row>
    <row r="224" spans="1:7" ht="15.6">
      <c r="A224" s="128"/>
      <c r="B224" s="134" t="s">
        <v>328</v>
      </c>
      <c r="C224" s="113" t="s">
        <v>179</v>
      </c>
      <c r="D224" s="135">
        <v>8</v>
      </c>
      <c r="E224" s="239">
        <v>0</v>
      </c>
      <c r="F224" s="133">
        <f t="shared" si="16"/>
        <v>0</v>
      </c>
    </row>
    <row r="225" spans="1:6" ht="15.6">
      <c r="A225" s="128"/>
      <c r="B225" s="134" t="s">
        <v>329</v>
      </c>
      <c r="C225" s="113" t="s">
        <v>179</v>
      </c>
      <c r="D225" s="135">
        <v>4</v>
      </c>
      <c r="E225" s="239">
        <v>0</v>
      </c>
      <c r="F225" s="133">
        <f t="shared" si="16"/>
        <v>0</v>
      </c>
    </row>
    <row r="226" spans="1:6" ht="15.6">
      <c r="A226" s="128"/>
      <c r="B226" s="134" t="s">
        <v>330</v>
      </c>
      <c r="C226" s="113" t="s">
        <v>179</v>
      </c>
      <c r="D226" s="135">
        <v>2</v>
      </c>
      <c r="E226" s="239">
        <v>0</v>
      </c>
      <c r="F226" s="133">
        <f t="shared" si="16"/>
        <v>0</v>
      </c>
    </row>
    <row r="227" spans="1:6" ht="15.6">
      <c r="A227" s="128"/>
      <c r="B227" s="134" t="s">
        <v>331</v>
      </c>
      <c r="C227" s="113" t="s">
        <v>179</v>
      </c>
      <c r="D227" s="135">
        <v>4</v>
      </c>
      <c r="E227" s="239">
        <v>0</v>
      </c>
      <c r="F227" s="133">
        <f t="shared" si="16"/>
        <v>0</v>
      </c>
    </row>
    <row r="228" spans="1:6" ht="15.6">
      <c r="A228" s="128"/>
      <c r="B228" s="134" t="s">
        <v>332</v>
      </c>
      <c r="C228" s="113" t="s">
        <v>179</v>
      </c>
      <c r="D228" s="135">
        <v>2</v>
      </c>
      <c r="E228" s="239">
        <v>0</v>
      </c>
      <c r="F228" s="133">
        <f t="shared" si="16"/>
        <v>0</v>
      </c>
    </row>
    <row r="229" spans="1:6" ht="15.6">
      <c r="A229" s="128"/>
      <c r="B229" s="134" t="s">
        <v>333</v>
      </c>
      <c r="C229" s="113" t="s">
        <v>179</v>
      </c>
      <c r="D229" s="135">
        <v>4</v>
      </c>
      <c r="E229" s="239">
        <v>0</v>
      </c>
      <c r="F229" s="133">
        <f t="shared" si="16"/>
        <v>0</v>
      </c>
    </row>
    <row r="230" spans="1:6" ht="15.6">
      <c r="A230" s="128"/>
      <c r="B230" s="138" t="s">
        <v>334</v>
      </c>
      <c r="C230" s="113"/>
      <c r="D230" s="137"/>
      <c r="E230" s="136"/>
      <c r="F230" s="133"/>
    </row>
    <row r="231" spans="1:6" ht="15.6">
      <c r="A231" s="128"/>
      <c r="B231" s="134" t="s">
        <v>335</v>
      </c>
      <c r="C231" s="113" t="s">
        <v>179</v>
      </c>
      <c r="D231" s="135">
        <v>2</v>
      </c>
      <c r="E231" s="239">
        <v>0</v>
      </c>
      <c r="F231" s="133">
        <f t="shared" ref="F231:F237" si="17">E231*D231</f>
        <v>0</v>
      </c>
    </row>
    <row r="232" spans="1:6" ht="15.6">
      <c r="A232" s="128"/>
      <c r="B232" s="134" t="s">
        <v>336</v>
      </c>
      <c r="C232" s="113" t="s">
        <v>179</v>
      </c>
      <c r="D232" s="135">
        <v>2</v>
      </c>
      <c r="E232" s="239">
        <v>0</v>
      </c>
      <c r="F232" s="133">
        <f t="shared" si="17"/>
        <v>0</v>
      </c>
    </row>
    <row r="233" spans="1:6" ht="15.6">
      <c r="A233" s="128"/>
      <c r="B233" s="134" t="s">
        <v>337</v>
      </c>
      <c r="C233" s="113" t="s">
        <v>179</v>
      </c>
      <c r="D233" s="135">
        <v>4</v>
      </c>
      <c r="E233" s="239">
        <v>0</v>
      </c>
      <c r="F233" s="133">
        <f t="shared" si="17"/>
        <v>0</v>
      </c>
    </row>
    <row r="234" spans="1:6" ht="15.6">
      <c r="A234" s="128"/>
      <c r="B234" s="134" t="s">
        <v>338</v>
      </c>
      <c r="C234" s="113" t="s">
        <v>179</v>
      </c>
      <c r="D234" s="135">
        <v>4</v>
      </c>
      <c r="E234" s="239">
        <v>0</v>
      </c>
      <c r="F234" s="133">
        <f t="shared" si="17"/>
        <v>0</v>
      </c>
    </row>
    <row r="235" spans="1:6" ht="15.6">
      <c r="A235" s="128"/>
      <c r="B235" s="134" t="s">
        <v>339</v>
      </c>
      <c r="C235" s="113" t="s">
        <v>179</v>
      </c>
      <c r="D235" s="135">
        <v>2</v>
      </c>
      <c r="E235" s="239">
        <v>0</v>
      </c>
      <c r="F235" s="133">
        <f t="shared" si="17"/>
        <v>0</v>
      </c>
    </row>
    <row r="236" spans="1:6" ht="15.6">
      <c r="A236" s="128"/>
      <c r="B236" s="134" t="s">
        <v>340</v>
      </c>
      <c r="C236" s="113" t="s">
        <v>179</v>
      </c>
      <c r="D236" s="135">
        <v>2</v>
      </c>
      <c r="E236" s="239">
        <v>0</v>
      </c>
      <c r="F236" s="133">
        <f t="shared" si="17"/>
        <v>0</v>
      </c>
    </row>
    <row r="237" spans="1:6" ht="15.6">
      <c r="A237" s="128"/>
      <c r="B237" s="134" t="s">
        <v>231</v>
      </c>
      <c r="C237" s="113" t="s">
        <v>232</v>
      </c>
      <c r="D237" s="135">
        <v>768</v>
      </c>
      <c r="E237" s="239">
        <v>0</v>
      </c>
      <c r="F237" s="133">
        <f t="shared" si="17"/>
        <v>0</v>
      </c>
    </row>
    <row r="238" spans="1:6">
      <c r="F238" s="28">
        <f>SUM(F209:F237)</f>
        <v>0</v>
      </c>
    </row>
    <row r="240" spans="1:6" ht="15.6">
      <c r="A240" s="126">
        <v>14</v>
      </c>
      <c r="B240" s="127" t="s">
        <v>341</v>
      </c>
      <c r="C240" s="113"/>
      <c r="D240" s="140"/>
      <c r="E240" s="136"/>
      <c r="F240" s="133"/>
    </row>
    <row r="241" spans="1:6" ht="15.6">
      <c r="A241" s="128"/>
      <c r="B241" s="134" t="s">
        <v>342</v>
      </c>
      <c r="C241" s="113" t="s">
        <v>232</v>
      </c>
      <c r="D241" s="137">
        <v>1440</v>
      </c>
      <c r="E241" s="239">
        <v>0</v>
      </c>
      <c r="F241" s="133">
        <f>D241*E241</f>
        <v>0</v>
      </c>
    </row>
    <row r="242" spans="1:6" ht="15.6">
      <c r="A242" s="128"/>
      <c r="B242" s="134" t="s">
        <v>422</v>
      </c>
      <c r="C242" s="113" t="s">
        <v>413</v>
      </c>
      <c r="D242" s="137"/>
      <c r="E242" s="239">
        <v>0</v>
      </c>
      <c r="F242" s="133">
        <f>E242</f>
        <v>0</v>
      </c>
    </row>
    <row r="243" spans="1:6" ht="15.6">
      <c r="A243" s="128"/>
      <c r="B243" s="134" t="s">
        <v>423</v>
      </c>
      <c r="C243" s="197" t="s">
        <v>414</v>
      </c>
      <c r="D243" s="137">
        <v>120</v>
      </c>
      <c r="E243" s="239">
        <v>0</v>
      </c>
      <c r="F243" s="150">
        <f>E243*D243</f>
        <v>0</v>
      </c>
    </row>
    <row r="244" spans="1:6" ht="15.6">
      <c r="A244" s="128"/>
      <c r="B244" s="134" t="s">
        <v>420</v>
      </c>
      <c r="C244" s="197" t="s">
        <v>414</v>
      </c>
      <c r="D244" s="137">
        <v>160</v>
      </c>
      <c r="E244" s="239">
        <v>0</v>
      </c>
      <c r="F244" s="150">
        <f>E244*D244</f>
        <v>0</v>
      </c>
    </row>
    <row r="245" spans="1:6" ht="15.6">
      <c r="A245" s="128"/>
      <c r="B245" s="134" t="s">
        <v>415</v>
      </c>
      <c r="C245" s="197" t="s">
        <v>232</v>
      </c>
      <c r="D245" s="135">
        <v>75072</v>
      </c>
      <c r="E245" s="239">
        <v>0</v>
      </c>
      <c r="F245" s="150">
        <f>E245*D245</f>
        <v>0</v>
      </c>
    </row>
    <row r="246" spans="1:6" ht="15.6">
      <c r="A246" s="151"/>
      <c r="B246" s="152"/>
      <c r="C246" s="153"/>
      <c r="D246" s="154"/>
      <c r="E246" s="155"/>
      <c r="F246" s="164">
        <f>SUM(F241:F245)</f>
        <v>0</v>
      </c>
    </row>
    <row r="248" spans="1:6">
      <c r="F248" s="28">
        <f>F246+F238+F202+F183+F166+F156+F147+F133+F119+F96+F87+F72+F60+F48+F34</f>
        <v>0</v>
      </c>
    </row>
  </sheetData>
  <mergeCells count="4">
    <mergeCell ref="A15:F15"/>
    <mergeCell ref="A16:F16"/>
    <mergeCell ref="A18:F18"/>
    <mergeCell ref="A20:F20"/>
  </mergeCells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21"/>
  <sheetViews>
    <sheetView showGridLines="0" zoomScale="72" workbookViewId="0">
      <selection activeCell="C14" sqref="C14"/>
    </sheetView>
  </sheetViews>
  <sheetFormatPr defaultColWidth="8.88671875" defaultRowHeight="13.2"/>
  <cols>
    <col min="1" max="1" width="19.109375" style="33" bestFit="1" customWidth="1"/>
    <col min="2" max="2" width="89.33203125" style="33" bestFit="1" customWidth="1"/>
    <col min="3" max="3" width="16.88671875" style="33" bestFit="1" customWidth="1"/>
    <col min="4" max="4" width="14.6640625" style="33" bestFit="1" customWidth="1"/>
    <col min="5" max="5" width="16.6640625" style="33" bestFit="1" customWidth="1"/>
    <col min="6" max="6" width="13.5546875" style="33" bestFit="1" customWidth="1"/>
    <col min="7" max="7" width="13.44140625" style="33" bestFit="1" customWidth="1"/>
    <col min="8" max="8" width="13.33203125" style="33" bestFit="1" customWidth="1"/>
    <col min="9" max="20" width="11" style="33" customWidth="1"/>
    <col min="21" max="16384" width="8.88671875" style="33"/>
  </cols>
  <sheetData>
    <row r="1" spans="1:20" ht="13.8">
      <c r="A1" s="3" t="s">
        <v>366</v>
      </c>
    </row>
    <row r="2" spans="1:20" ht="13.8">
      <c r="A2" s="3" t="s">
        <v>365</v>
      </c>
    </row>
    <row r="3" spans="1:20" ht="13.8">
      <c r="A3" s="3" t="s">
        <v>54</v>
      </c>
    </row>
    <row r="4" spans="1:20" ht="13.8" thickBot="1"/>
    <row r="5" spans="1:20" ht="15" customHeight="1" thickBot="1">
      <c r="A5" s="273" t="s">
        <v>383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5"/>
    </row>
    <row r="6" spans="1:20" ht="13.8">
      <c r="A6" s="171"/>
      <c r="B6" s="172"/>
      <c r="C6" s="172"/>
      <c r="D6" s="172"/>
      <c r="E6" s="172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0" ht="13.8">
      <c r="A7" s="174" t="s">
        <v>384</v>
      </c>
      <c r="B7" s="174" t="s">
        <v>122</v>
      </c>
      <c r="C7" s="174" t="s">
        <v>385</v>
      </c>
      <c r="D7" s="174" t="s">
        <v>124</v>
      </c>
      <c r="E7" s="174" t="s">
        <v>386</v>
      </c>
      <c r="F7" s="175" t="s">
        <v>387</v>
      </c>
      <c r="G7" s="175" t="s">
        <v>388</v>
      </c>
      <c r="H7" s="175" t="s">
        <v>389</v>
      </c>
      <c r="I7" s="175" t="s">
        <v>390</v>
      </c>
      <c r="J7" s="175" t="s">
        <v>391</v>
      </c>
      <c r="K7" s="175" t="s">
        <v>392</v>
      </c>
      <c r="L7" s="175" t="s">
        <v>393</v>
      </c>
      <c r="M7" s="175" t="s">
        <v>394</v>
      </c>
      <c r="N7" s="175" t="s">
        <v>395</v>
      </c>
      <c r="O7" s="175" t="s">
        <v>396</v>
      </c>
      <c r="P7" s="175" t="s">
        <v>397</v>
      </c>
      <c r="Q7" s="175" t="s">
        <v>398</v>
      </c>
      <c r="R7" s="175" t="s">
        <v>399</v>
      </c>
      <c r="S7" s="175" t="s">
        <v>400</v>
      </c>
      <c r="T7" s="175" t="s">
        <v>401</v>
      </c>
    </row>
    <row r="8" spans="1:20" ht="13.8">
      <c r="A8" s="176">
        <v>1</v>
      </c>
      <c r="B8" s="177" t="s">
        <v>402</v>
      </c>
      <c r="C8" s="178">
        <f>'Component 1- Electric Work'!F62+'Component 2- Plumbing Work'!F31</f>
        <v>0</v>
      </c>
      <c r="D8" s="240">
        <v>0</v>
      </c>
      <c r="E8" s="179">
        <v>0</v>
      </c>
      <c r="F8" s="179">
        <f>C8*D8</f>
        <v>0</v>
      </c>
      <c r="G8" s="179">
        <f>($C8-SUM($E8:F8))*$D$8</f>
        <v>0</v>
      </c>
      <c r="H8" s="179">
        <f>($C8-SUM($E8:G8))*$D$8</f>
        <v>0</v>
      </c>
      <c r="I8" s="179">
        <f>($C8-SUM($E8:H8))*$D$8</f>
        <v>0</v>
      </c>
      <c r="J8" s="179">
        <f>($C8-SUM($E8:I8))*$D$8</f>
        <v>0</v>
      </c>
      <c r="K8" s="179">
        <f>($C8-SUM($E8:J8))*$D$8</f>
        <v>0</v>
      </c>
      <c r="L8" s="179">
        <f>($C8-SUM($E8:K8))*$D$8</f>
        <v>0</v>
      </c>
      <c r="M8" s="179">
        <f>($C8-SUM($E8:L8))*$D$8</f>
        <v>0</v>
      </c>
      <c r="N8" s="179">
        <f>($C8-SUM($E8:M8))*$D$8</f>
        <v>0</v>
      </c>
      <c r="O8" s="179">
        <f>($C8-SUM($E8:N8))*$D$8</f>
        <v>0</v>
      </c>
      <c r="P8" s="179">
        <f>($C8-SUM($E8:O8))*$D$8</f>
        <v>0</v>
      </c>
      <c r="Q8" s="179">
        <f>($C8-SUM($E8:P8))*$D$8</f>
        <v>0</v>
      </c>
      <c r="R8" s="179">
        <f>($C8-SUM($E8:Q8))*$D$8</f>
        <v>0</v>
      </c>
      <c r="S8" s="179">
        <f>($C8-SUM($E8:R8))*$D$8</f>
        <v>0</v>
      </c>
      <c r="T8" s="179">
        <f>($C8-SUM($E8:S8))*$D$8</f>
        <v>0</v>
      </c>
    </row>
    <row r="9" spans="1:20" ht="13.8">
      <c r="A9" s="176">
        <v>2</v>
      </c>
      <c r="B9" s="177" t="str">
        <f>'Component 3- STP '!B4</f>
        <v>Furniture, fittings and renovation</v>
      </c>
      <c r="C9" s="178">
        <f>'Component 3- STP '!F4</f>
        <v>0</v>
      </c>
      <c r="D9" s="240">
        <v>0</v>
      </c>
      <c r="E9" s="179">
        <v>0</v>
      </c>
      <c r="F9" s="179">
        <f>C9*D9</f>
        <v>0</v>
      </c>
      <c r="G9" s="179">
        <f>($C9-SUM($E9:F9))*$D$9</f>
        <v>0</v>
      </c>
      <c r="H9" s="179">
        <f>($C9-SUM($E9:G9))*$D$9</f>
        <v>0</v>
      </c>
      <c r="I9" s="179">
        <f>($C9-SUM($E9:H9))*$D$9</f>
        <v>0</v>
      </c>
      <c r="J9" s="179">
        <f>($C9-SUM($E9:I9))*$D$9</f>
        <v>0</v>
      </c>
      <c r="K9" s="179">
        <f>($C9-SUM($E9:J9))*$D$9</f>
        <v>0</v>
      </c>
      <c r="L9" s="179">
        <f>($C9-SUM($E9:K9))*$D$9</f>
        <v>0</v>
      </c>
      <c r="M9" s="179">
        <f>($C9-SUM($E9:L9))*$D$9</f>
        <v>0</v>
      </c>
      <c r="N9" s="179">
        <f>($C9-SUM($E9:M9))*$D$9</f>
        <v>0</v>
      </c>
      <c r="O9" s="179">
        <f>($C9-SUM($E9:N9))*$D$9</f>
        <v>0</v>
      </c>
      <c r="P9" s="179">
        <f>($C9-SUM($E9:O9))*$D$9</f>
        <v>0</v>
      </c>
      <c r="Q9" s="179">
        <f>($C9-SUM($E9:P9))*$D$9</f>
        <v>0</v>
      </c>
      <c r="R9" s="179">
        <f>($C9-SUM($E9:Q9))*$D$9</f>
        <v>0</v>
      </c>
      <c r="S9" s="179">
        <f>($C9-SUM($E9:R9))*$D$9</f>
        <v>0</v>
      </c>
      <c r="T9" s="179">
        <f>($C9-SUM($E9:S9))*$D$9</f>
        <v>0</v>
      </c>
    </row>
    <row r="10" spans="1:20" ht="13.8">
      <c r="A10" s="176">
        <v>3</v>
      </c>
      <c r="B10" s="177" t="str">
        <f>'Component 3- STP '!B5</f>
        <v>Network equipment and testing</v>
      </c>
      <c r="C10" s="178">
        <f>'Component 3- STP '!F5</f>
        <v>0</v>
      </c>
      <c r="D10" s="240">
        <v>0</v>
      </c>
      <c r="E10" s="179">
        <v>0</v>
      </c>
      <c r="F10" s="179">
        <f t="shared" ref="F10:F14" si="0">C10*D10</f>
        <v>0</v>
      </c>
      <c r="G10" s="179">
        <f>($C10-SUM($E10:F10))*$D$10</f>
        <v>0</v>
      </c>
      <c r="H10" s="179">
        <f>($C10-SUM($E10:G10))*$D$10</f>
        <v>0</v>
      </c>
      <c r="I10" s="179">
        <f>($C10-SUM($E10:H10))*$D$10</f>
        <v>0</v>
      </c>
      <c r="J10" s="179">
        <f>($C10-SUM($E10:I10))*$D$10</f>
        <v>0</v>
      </c>
      <c r="K10" s="179">
        <f>($C10-SUM($E10:J10))*$D$10</f>
        <v>0</v>
      </c>
      <c r="L10" s="179">
        <f>($C10-SUM($E10:K10))*$D$10</f>
        <v>0</v>
      </c>
      <c r="M10" s="179">
        <f>($C10-SUM($E10:L10))*$D$10</f>
        <v>0</v>
      </c>
      <c r="N10" s="179">
        <f>($C10-SUM($E10:M10))*$D$10</f>
        <v>0</v>
      </c>
      <c r="O10" s="179">
        <f>($C10-SUM($E10:N10))*$D$10</f>
        <v>0</v>
      </c>
      <c r="P10" s="179">
        <f>($C10-SUM($E10:O10))*$D$10</f>
        <v>0</v>
      </c>
      <c r="Q10" s="179">
        <f>($C10-SUM($E10:P10))*$D$10</f>
        <v>0</v>
      </c>
      <c r="R10" s="179">
        <f>($C10-SUM($E10:Q10))*$D$10</f>
        <v>0</v>
      </c>
      <c r="S10" s="179">
        <f>($C10-SUM($E10:R10))*$D$10</f>
        <v>0</v>
      </c>
      <c r="T10" s="179">
        <f>($C10-SUM($E10:S10))*$D$10</f>
        <v>0</v>
      </c>
    </row>
    <row r="11" spans="1:20" ht="13.8">
      <c r="A11" s="176">
        <v>4</v>
      </c>
      <c r="B11" s="177" t="str">
        <f>'Component 3- STP '!B6</f>
        <v>Security equipment</v>
      </c>
      <c r="C11" s="178">
        <f>'Component 3- STP '!F6</f>
        <v>0</v>
      </c>
      <c r="D11" s="240">
        <v>0</v>
      </c>
      <c r="E11" s="179">
        <v>0</v>
      </c>
      <c r="F11" s="179">
        <f t="shared" si="0"/>
        <v>0</v>
      </c>
      <c r="G11" s="179">
        <f>($C11-SUM($E11:F11))*$D$11</f>
        <v>0</v>
      </c>
      <c r="H11" s="179">
        <f>($C11-SUM($E11:G11))*$D$11</f>
        <v>0</v>
      </c>
      <c r="I11" s="179">
        <f>($C11-SUM($E11:H11))*$D$11</f>
        <v>0</v>
      </c>
      <c r="J11" s="179">
        <f>($C11-SUM($E11:I11))*$D$11</f>
        <v>0</v>
      </c>
      <c r="K11" s="179">
        <f>($C11-SUM($E11:J11))*$D$11</f>
        <v>0</v>
      </c>
      <c r="L11" s="179">
        <f>($C11-SUM($E11:K11))*$D$11</f>
        <v>0</v>
      </c>
      <c r="M11" s="179">
        <f>($C11-SUM($E11:L11))*$D$11</f>
        <v>0</v>
      </c>
      <c r="N11" s="179">
        <f>($C11-SUM($E11:M11))*$D$11</f>
        <v>0</v>
      </c>
      <c r="O11" s="179">
        <f>($C11-SUM($E11:N11))*$D$11</f>
        <v>0</v>
      </c>
      <c r="P11" s="179">
        <f>($C11-SUM($E11:O11))*$D$11</f>
        <v>0</v>
      </c>
      <c r="Q11" s="179">
        <f>($C11-SUM($E11:P11))*$D$11</f>
        <v>0</v>
      </c>
      <c r="R11" s="179">
        <f>($C11-SUM($E11:Q11))*$D$11</f>
        <v>0</v>
      </c>
      <c r="S11" s="179">
        <f>($C11-SUM($E11:R11))*$D$11</f>
        <v>0</v>
      </c>
      <c r="T11" s="179">
        <f>($C11-SUM($E11:S11))*$D$11</f>
        <v>0</v>
      </c>
    </row>
    <row r="12" spans="1:20" ht="13.8">
      <c r="A12" s="176">
        <v>5</v>
      </c>
      <c r="B12" s="177" t="str">
        <f>'Component 3- STP '!B7</f>
        <v>Complete Solar System (120 kVA)</v>
      </c>
      <c r="C12" s="178">
        <f>'Component 3- STP '!F7</f>
        <v>0</v>
      </c>
      <c r="D12" s="240">
        <v>0</v>
      </c>
      <c r="E12" s="179">
        <v>0</v>
      </c>
      <c r="F12" s="179">
        <f t="shared" si="0"/>
        <v>0</v>
      </c>
      <c r="G12" s="179">
        <f>($C12-SUM($E12:F12))*$D$12</f>
        <v>0</v>
      </c>
      <c r="H12" s="179">
        <f>($C12-SUM($E12:G12))*$D$12</f>
        <v>0</v>
      </c>
      <c r="I12" s="179">
        <f>($C12-SUM($E12:H12))*$D$12</f>
        <v>0</v>
      </c>
      <c r="J12" s="179">
        <f>($C12-SUM($E12:I12))*$D$12</f>
        <v>0</v>
      </c>
      <c r="K12" s="179">
        <f>($C12-SUM($E12:J12))*$D$12</f>
        <v>0</v>
      </c>
      <c r="L12" s="179">
        <f>($C12-SUM($E12:K12))*$D$12</f>
        <v>0</v>
      </c>
      <c r="M12" s="179">
        <f>($C12-SUM($E12:L12))*$D$12</f>
        <v>0</v>
      </c>
      <c r="N12" s="179">
        <f>($C12-SUM($E12:M12))*$D$12</f>
        <v>0</v>
      </c>
      <c r="O12" s="179">
        <f>($C12-SUM($E12:N12))*$D$12</f>
        <v>0</v>
      </c>
      <c r="P12" s="179">
        <f>($C12-SUM($E12:O12))*$D$12</f>
        <v>0</v>
      </c>
      <c r="Q12" s="179">
        <f>($C12-SUM($E12:P12))*$D$12</f>
        <v>0</v>
      </c>
      <c r="R12" s="179">
        <f>($C12-SUM($E12:Q12))*$D$12</f>
        <v>0</v>
      </c>
      <c r="S12" s="179">
        <f>($C12-SUM($E12:R12))*$D$12</f>
        <v>0</v>
      </c>
      <c r="T12" s="179">
        <f>($C12-SUM($E12:S12))*$D$12</f>
        <v>0</v>
      </c>
    </row>
    <row r="13" spans="1:20" ht="13.8">
      <c r="A13" s="176">
        <v>6</v>
      </c>
      <c r="B13" s="177" t="str">
        <f>'Component 3- STP '!B8</f>
        <v>Generator (165 kVA)</v>
      </c>
      <c r="C13" s="178">
        <f>'Component 3- STP '!F8</f>
        <v>0</v>
      </c>
      <c r="D13" s="240">
        <v>0</v>
      </c>
      <c r="E13" s="179">
        <v>0</v>
      </c>
      <c r="F13" s="179">
        <f t="shared" ref="F13" si="1">C13*D13</f>
        <v>0</v>
      </c>
      <c r="G13" s="179">
        <f>($C13-SUM($E13:F13))*$D$12</f>
        <v>0</v>
      </c>
      <c r="H13" s="179">
        <f>($C13-SUM($E13:G13))*$D$12</f>
        <v>0</v>
      </c>
      <c r="I13" s="179">
        <f>($C13-SUM($E13:H13))*$D$12</f>
        <v>0</v>
      </c>
      <c r="J13" s="179">
        <f>($C13-SUM($E13:I13))*$D$12</f>
        <v>0</v>
      </c>
      <c r="K13" s="179">
        <f>($C13-SUM($E13:J13))*$D$12</f>
        <v>0</v>
      </c>
      <c r="L13" s="179">
        <f>($C13-SUM($E13:K13))*$D$12</f>
        <v>0</v>
      </c>
      <c r="M13" s="179">
        <f>($C13-SUM($E13:L13))*$D$12</f>
        <v>0</v>
      </c>
      <c r="N13" s="179">
        <f>($C13-SUM($E13:M13))*$D$12</f>
        <v>0</v>
      </c>
      <c r="O13" s="179">
        <f>($C13-SUM($E13:N13))*$D$12</f>
        <v>0</v>
      </c>
      <c r="P13" s="179">
        <f>($C13-SUM($E13:O13))*$D$12</f>
        <v>0</v>
      </c>
      <c r="Q13" s="179">
        <f>($C13-SUM($E13:P13))*$D$12</f>
        <v>0</v>
      </c>
      <c r="R13" s="179">
        <f>($C13-SUM($E13:Q13))*$D$12</f>
        <v>0</v>
      </c>
      <c r="S13" s="179">
        <f>($C13-SUM($E13:R13))*$D$12</f>
        <v>0</v>
      </c>
      <c r="T13" s="179">
        <f>($C13-SUM($E13:S13))*$D$12</f>
        <v>0</v>
      </c>
    </row>
    <row r="14" spans="1:20" ht="13.8">
      <c r="A14" s="176">
        <v>6</v>
      </c>
      <c r="B14" s="177" t="str">
        <f>'Component 3- STP '!B9</f>
        <v>UPS complete system (5 kVA)</v>
      </c>
      <c r="C14" s="178">
        <f>'Component 3- STP '!F9</f>
        <v>0</v>
      </c>
      <c r="D14" s="240">
        <v>0</v>
      </c>
      <c r="E14" s="179">
        <v>0</v>
      </c>
      <c r="F14" s="179">
        <f t="shared" si="0"/>
        <v>0</v>
      </c>
      <c r="G14" s="179">
        <f>($C14-SUM($E14:F14))*$D$14</f>
        <v>0</v>
      </c>
      <c r="H14" s="179">
        <f>($C14-SUM($E14:G14))*$D$14</f>
        <v>0</v>
      </c>
      <c r="I14" s="179">
        <f>($C14-SUM($E14:H14))*$D$14</f>
        <v>0</v>
      </c>
      <c r="J14" s="179">
        <f>($C14-SUM($E14:I14))*$D$14</f>
        <v>0</v>
      </c>
      <c r="K14" s="179">
        <f>($C14-SUM($E14:J14))*$D$14</f>
        <v>0</v>
      </c>
      <c r="L14" s="179">
        <f>($C14-SUM($E14:K14))*$D$14</f>
        <v>0</v>
      </c>
      <c r="M14" s="179">
        <f>($C14-SUM($E14:L14))*$D$14</f>
        <v>0</v>
      </c>
      <c r="N14" s="179">
        <f>($C14-SUM($E14:M14))*$D$14</f>
        <v>0</v>
      </c>
      <c r="O14" s="179">
        <f>($C14-SUM($E14:N14))*$D$14</f>
        <v>0</v>
      </c>
      <c r="P14" s="179">
        <f>($C14-SUM($E14:O14))*$D$14</f>
        <v>0</v>
      </c>
      <c r="Q14" s="179">
        <f>($C14-SUM($E14:P14))*$D$14</f>
        <v>0</v>
      </c>
      <c r="R14" s="179">
        <f>($C14-SUM($E14:Q14))*$D$14</f>
        <v>0</v>
      </c>
      <c r="S14" s="179">
        <f>($C14-SUM($E14:R14))*$D$14</f>
        <v>0</v>
      </c>
      <c r="T14" s="179">
        <f>($C14-SUM($E14:S14))*$D$14</f>
        <v>0</v>
      </c>
    </row>
    <row r="15" spans="1:20" ht="13.8">
      <c r="A15" s="180"/>
      <c r="B15" s="181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13.8">
      <c r="A16" s="180" t="s">
        <v>403</v>
      </c>
      <c r="B16" s="181"/>
      <c r="C16" s="182"/>
      <c r="D16" s="182"/>
      <c r="E16" s="182"/>
      <c r="F16" s="182">
        <f>$C$17-SUM($E$17:F17)</f>
        <v>0</v>
      </c>
      <c r="G16" s="182">
        <f>$C$17-SUM($E$17:G17)</f>
        <v>0</v>
      </c>
      <c r="H16" s="182">
        <f>$C$17-SUM($E$17:H17)</f>
        <v>0</v>
      </c>
      <c r="I16" s="182">
        <f>$C$17-SUM($E$17:I17)</f>
        <v>0</v>
      </c>
      <c r="J16" s="182">
        <f>$C$17-SUM($E$17:J17)</f>
        <v>0</v>
      </c>
      <c r="K16" s="182">
        <f>$C$17-SUM($E$17:K17)</f>
        <v>0</v>
      </c>
      <c r="L16" s="182">
        <f>$C$17-SUM($E$17:L17)</f>
        <v>0</v>
      </c>
      <c r="M16" s="182">
        <f>$C$17-SUM($E$17:M17)</f>
        <v>0</v>
      </c>
      <c r="N16" s="182">
        <f>$C$17-SUM($E$17:N17)</f>
        <v>0</v>
      </c>
      <c r="O16" s="182">
        <f>$C$17-SUM($E$17:O17)</f>
        <v>0</v>
      </c>
      <c r="P16" s="182">
        <f>$C$17-SUM($E$17:P17)</f>
        <v>0</v>
      </c>
      <c r="Q16" s="182">
        <f>$C$17-SUM($E$17:Q17)</f>
        <v>0</v>
      </c>
      <c r="R16" s="182">
        <f>$C$17-SUM($E$17:R17)</f>
        <v>0</v>
      </c>
      <c r="S16" s="182">
        <f>$C$17-SUM($E$17:S17)</f>
        <v>0</v>
      </c>
      <c r="T16" s="182">
        <f>$C$17-SUM($E$17:T17)</f>
        <v>0</v>
      </c>
    </row>
    <row r="17" spans="1:20" ht="14.4" thickBot="1">
      <c r="A17" s="183" t="s">
        <v>46</v>
      </c>
      <c r="B17" s="184"/>
      <c r="C17" s="185">
        <f>SUM(C8:C14)</f>
        <v>0</v>
      </c>
      <c r="D17" s="186"/>
      <c r="E17" s="187">
        <v>0</v>
      </c>
      <c r="F17" s="187">
        <f>SUM(F8:F14)</f>
        <v>0</v>
      </c>
      <c r="G17" s="187">
        <f t="shared" ref="G17:T17" si="2">SUM(G8:G14)</f>
        <v>0</v>
      </c>
      <c r="H17" s="187">
        <f t="shared" si="2"/>
        <v>0</v>
      </c>
      <c r="I17" s="187">
        <f t="shared" si="2"/>
        <v>0</v>
      </c>
      <c r="J17" s="187">
        <f t="shared" si="2"/>
        <v>0</v>
      </c>
      <c r="K17" s="187">
        <f t="shared" si="2"/>
        <v>0</v>
      </c>
      <c r="L17" s="187">
        <f t="shared" si="2"/>
        <v>0</v>
      </c>
      <c r="M17" s="187">
        <f t="shared" si="2"/>
        <v>0</v>
      </c>
      <c r="N17" s="187">
        <f t="shared" si="2"/>
        <v>0</v>
      </c>
      <c r="O17" s="187">
        <f t="shared" si="2"/>
        <v>0</v>
      </c>
      <c r="P17" s="187">
        <f t="shared" si="2"/>
        <v>0</v>
      </c>
      <c r="Q17" s="187">
        <f t="shared" si="2"/>
        <v>0</v>
      </c>
      <c r="R17" s="187">
        <f t="shared" si="2"/>
        <v>0</v>
      </c>
      <c r="S17" s="187">
        <f t="shared" si="2"/>
        <v>0</v>
      </c>
      <c r="T17" s="187">
        <f t="shared" si="2"/>
        <v>0</v>
      </c>
    </row>
    <row r="18" spans="1:20" ht="13.8">
      <c r="A18" s="172"/>
      <c r="B18" s="172"/>
      <c r="C18" s="188"/>
      <c r="D18" s="173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20" ht="13.8">
      <c r="A19" s="172"/>
      <c r="B19" s="172" t="s">
        <v>404</v>
      </c>
      <c r="C19" s="190"/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20" ht="13.8">
      <c r="A20" s="172" t="s">
        <v>405</v>
      </c>
      <c r="B20" s="241">
        <v>0</v>
      </c>
      <c r="C20" s="190"/>
      <c r="D20" s="191"/>
      <c r="E20" s="192"/>
      <c r="F20" s="193">
        <f>F17*$B$20</f>
        <v>0</v>
      </c>
      <c r="G20" s="193">
        <f t="shared" ref="G20:T20" si="3">G17*$B$20</f>
        <v>0</v>
      </c>
      <c r="H20" s="193">
        <f t="shared" si="3"/>
        <v>0</v>
      </c>
      <c r="I20" s="193">
        <f t="shared" si="3"/>
        <v>0</v>
      </c>
      <c r="J20" s="193">
        <f t="shared" si="3"/>
        <v>0</v>
      </c>
      <c r="K20" s="193">
        <f t="shared" si="3"/>
        <v>0</v>
      </c>
      <c r="L20" s="193">
        <f t="shared" si="3"/>
        <v>0</v>
      </c>
      <c r="M20" s="193">
        <f t="shared" si="3"/>
        <v>0</v>
      </c>
      <c r="N20" s="193">
        <f t="shared" si="3"/>
        <v>0</v>
      </c>
      <c r="O20" s="193">
        <f t="shared" si="3"/>
        <v>0</v>
      </c>
      <c r="P20" s="193">
        <f t="shared" si="3"/>
        <v>0</v>
      </c>
      <c r="Q20" s="193">
        <f t="shared" si="3"/>
        <v>0</v>
      </c>
      <c r="R20" s="193">
        <f t="shared" si="3"/>
        <v>0</v>
      </c>
      <c r="S20" s="193">
        <f t="shared" si="3"/>
        <v>0</v>
      </c>
      <c r="T20" s="193">
        <f t="shared" si="3"/>
        <v>0</v>
      </c>
    </row>
    <row r="21" spans="1:20" ht="13.8">
      <c r="A21" s="172" t="s">
        <v>406</v>
      </c>
      <c r="B21" s="241">
        <v>0</v>
      </c>
      <c r="C21" s="172"/>
      <c r="D21" s="191"/>
      <c r="E21" s="192"/>
      <c r="F21" s="193">
        <f>F17*$B$21</f>
        <v>0</v>
      </c>
      <c r="G21" s="193">
        <f t="shared" ref="G21:T21" si="4">G17*$B$21</f>
        <v>0</v>
      </c>
      <c r="H21" s="193">
        <f t="shared" si="4"/>
        <v>0</v>
      </c>
      <c r="I21" s="193">
        <f t="shared" si="4"/>
        <v>0</v>
      </c>
      <c r="J21" s="193">
        <f t="shared" si="4"/>
        <v>0</v>
      </c>
      <c r="K21" s="193">
        <f t="shared" si="4"/>
        <v>0</v>
      </c>
      <c r="L21" s="193">
        <f t="shared" si="4"/>
        <v>0</v>
      </c>
      <c r="M21" s="193">
        <f t="shared" si="4"/>
        <v>0</v>
      </c>
      <c r="N21" s="193">
        <f t="shared" si="4"/>
        <v>0</v>
      </c>
      <c r="O21" s="193">
        <f t="shared" si="4"/>
        <v>0</v>
      </c>
      <c r="P21" s="193">
        <f t="shared" si="4"/>
        <v>0</v>
      </c>
      <c r="Q21" s="193">
        <f t="shared" si="4"/>
        <v>0</v>
      </c>
      <c r="R21" s="193">
        <f t="shared" si="4"/>
        <v>0</v>
      </c>
      <c r="S21" s="193">
        <f t="shared" si="4"/>
        <v>0</v>
      </c>
      <c r="T21" s="193">
        <f t="shared" si="4"/>
        <v>0</v>
      </c>
    </row>
  </sheetData>
  <mergeCells count="1">
    <mergeCell ref="A5:T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V60"/>
  <sheetViews>
    <sheetView showGridLines="0" topLeftCell="A8" zoomScale="75" zoomScaleNormal="75" zoomScaleSheetLayoutView="81" workbookViewId="0">
      <selection activeCell="D20" sqref="D20"/>
    </sheetView>
  </sheetViews>
  <sheetFormatPr defaultColWidth="9.109375" defaultRowHeight="13.8"/>
  <cols>
    <col min="1" max="1" width="69.109375" style="2" bestFit="1" customWidth="1"/>
    <col min="2" max="2" width="21.33203125" style="2" customWidth="1"/>
    <col min="3" max="3" width="20.44140625" style="2" customWidth="1"/>
    <col min="4" max="4" width="25.88671875" style="2" customWidth="1"/>
    <col min="5" max="5" width="15" style="2" bestFit="1" customWidth="1"/>
    <col min="6" max="10" width="15.5546875" style="2" customWidth="1"/>
    <col min="11" max="11" width="15" style="2" bestFit="1" customWidth="1"/>
    <col min="12" max="16" width="11.44140625" style="2" bestFit="1" customWidth="1"/>
    <col min="17" max="21" width="10.6640625" style="2" customWidth="1"/>
    <col min="22" max="22" width="21.88671875" style="2" customWidth="1"/>
    <col min="23" max="16384" width="9.109375" style="2"/>
  </cols>
  <sheetData>
    <row r="1" spans="1:20" ht="18" customHeight="1">
      <c r="A1" s="3" t="s">
        <v>366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20" ht="18" customHeight="1">
      <c r="A2" s="3" t="s">
        <v>365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20" ht="18" customHeight="1">
      <c r="A3" s="3" t="s">
        <v>100</v>
      </c>
      <c r="B3" s="1"/>
      <c r="C3" s="1"/>
      <c r="D3" s="1"/>
      <c r="E3" s="1"/>
      <c r="F3" s="1"/>
      <c r="G3" s="5"/>
      <c r="H3" s="5"/>
      <c r="I3" s="5"/>
      <c r="J3" s="6"/>
      <c r="K3" s="1"/>
    </row>
    <row r="4" spans="1:20" ht="7.5" customHeight="1">
      <c r="A4" s="4"/>
      <c r="B4" s="4"/>
      <c r="C4" s="4"/>
      <c r="D4" s="4"/>
      <c r="E4" s="4"/>
      <c r="F4" s="4"/>
      <c r="G4" s="4"/>
      <c r="H4" s="7"/>
      <c r="I4" s="7"/>
      <c r="J4" s="7"/>
      <c r="K4" s="1"/>
    </row>
    <row r="5" spans="1:20" ht="11.25" customHeight="1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8" t="s">
        <v>0</v>
      </c>
      <c r="L5" s="9"/>
      <c r="M5" s="9"/>
      <c r="N5" s="9"/>
      <c r="O5" s="9"/>
      <c r="P5" s="9"/>
    </row>
    <row r="6" spans="1:20" ht="12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"/>
    </row>
    <row r="7" spans="1:20" ht="17.399999999999999" customHeight="1">
      <c r="A7"/>
      <c r="B7" s="31">
        <v>1</v>
      </c>
      <c r="C7" s="31">
        <v>2</v>
      </c>
      <c r="D7" s="31">
        <v>3</v>
      </c>
      <c r="E7" s="31">
        <v>4</v>
      </c>
      <c r="F7" s="31">
        <v>5</v>
      </c>
      <c r="G7" s="31">
        <v>6</v>
      </c>
      <c r="H7" s="31">
        <v>7</v>
      </c>
      <c r="I7" s="31">
        <v>8</v>
      </c>
      <c r="J7" s="31">
        <v>9</v>
      </c>
      <c r="K7" s="32">
        <v>10</v>
      </c>
      <c r="L7" s="32">
        <v>11</v>
      </c>
      <c r="M7" s="32">
        <v>12</v>
      </c>
      <c r="N7" s="32">
        <v>13</v>
      </c>
      <c r="O7" s="32">
        <v>14</v>
      </c>
      <c r="P7" s="32">
        <v>15</v>
      </c>
    </row>
    <row r="8" spans="1:20" ht="18" customHeight="1">
      <c r="A8" t="s">
        <v>38</v>
      </c>
      <c r="B8" s="31">
        <v>2025</v>
      </c>
      <c r="C8" s="31">
        <v>2026</v>
      </c>
      <c r="D8" s="31">
        <v>2027</v>
      </c>
      <c r="E8" s="31">
        <v>2028</v>
      </c>
      <c r="F8" s="31">
        <v>2029</v>
      </c>
      <c r="G8" s="31">
        <v>2030</v>
      </c>
      <c r="H8" s="31">
        <v>2031</v>
      </c>
      <c r="I8" s="31">
        <v>2032</v>
      </c>
      <c r="J8" s="31">
        <v>2033</v>
      </c>
      <c r="K8" s="31">
        <v>2034</v>
      </c>
      <c r="L8" s="31">
        <v>2035</v>
      </c>
      <c r="M8" s="31">
        <v>2036</v>
      </c>
      <c r="N8" s="31">
        <v>2037</v>
      </c>
      <c r="O8" s="31">
        <v>2038</v>
      </c>
      <c r="P8" s="31">
        <v>2039</v>
      </c>
    </row>
    <row r="9" spans="1:20" ht="18" customHeight="1">
      <c r="A9"/>
      <c r="B9"/>
      <c r="C9"/>
      <c r="D9"/>
      <c r="E9"/>
      <c r="F9"/>
      <c r="G9"/>
      <c r="H9"/>
      <c r="I9"/>
      <c r="J9"/>
      <c r="K9" s="1"/>
    </row>
    <row r="10" spans="1:20" ht="18" customHeight="1">
      <c r="A10" t="s">
        <v>37</v>
      </c>
      <c r="B10"/>
      <c r="C10"/>
      <c r="D10"/>
      <c r="E10"/>
      <c r="F10"/>
      <c r="G10"/>
      <c r="H10"/>
      <c r="I10"/>
      <c r="J10"/>
      <c r="K10" s="1"/>
    </row>
    <row r="11" spans="1:20" ht="18" customHeight="1">
      <c r="A11"/>
      <c r="B11"/>
      <c r="C11"/>
      <c r="D11"/>
      <c r="E11"/>
      <c r="F11"/>
      <c r="G11"/>
      <c r="H11"/>
      <c r="I11"/>
      <c r="J11"/>
      <c r="K11" s="1"/>
    </row>
    <row r="12" spans="1:20" ht="18" customHeight="1">
      <c r="A12"/>
      <c r="B12"/>
      <c r="C12"/>
      <c r="D12"/>
      <c r="E12"/>
      <c r="F12"/>
      <c r="G12"/>
      <c r="H12"/>
      <c r="I12"/>
      <c r="J12"/>
      <c r="K12" s="1"/>
    </row>
    <row r="13" spans="1:20" ht="18" customHeight="1">
      <c r="A13" t="s">
        <v>37</v>
      </c>
      <c r="B13"/>
      <c r="C13"/>
      <c r="D13"/>
      <c r="E13"/>
      <c r="F13"/>
      <c r="G13"/>
      <c r="H13"/>
      <c r="I13"/>
      <c r="J13"/>
      <c r="K13" s="1"/>
    </row>
    <row r="14" spans="1:20" ht="18" customHeight="1">
      <c r="A14" s="30" t="s">
        <v>371</v>
      </c>
      <c r="B14" s="24">
        <f>('MC '!$G$35+'MC '!$G$36+'MC '!$G$37+'MC '!$G$39+'MC '!$G$40+'MC '!$G$41+'MC '!$G$45+'MC '!$G$46+'MC '!$G$47+'MC '!$G$48+'MC '!$G$52)*B24*'MC '!$B$75*12*(1+B23)^Working!B7</f>
        <v>0</v>
      </c>
      <c r="C14" s="24">
        <f>('MC '!$G$35+'MC '!$G$36+'MC '!$G$37+'MC '!$G$39+'MC '!$G$40+'MC '!$G$41+'MC '!$G$45+'MC '!$G$46+'MC '!$G$47+'MC '!$G$48+'MC '!$G$52)*C24*'MC '!$B$75*12*(1+C23)^Working!C7</f>
        <v>0</v>
      </c>
      <c r="D14" s="24">
        <f>('MC '!$G$35+'MC '!$G$36+'MC '!$G$37+'MC '!$G$39+'MC '!$G$40+'MC '!$G$41+'MC '!$G$45+'MC '!$G$46+'MC '!$G$47+'MC '!$G$48+'MC '!$G$52)*D24*'MC '!$B$75*12*(1+D23)^Working!D7</f>
        <v>0</v>
      </c>
      <c r="E14" s="24">
        <f>('MC '!$G$35+'MC '!$G$36+'MC '!$G$37+'MC '!$G$39+'MC '!$G$40+'MC '!$G$41+'MC '!$G$45+'MC '!$G$46+'MC '!$G$47+'MC '!$G$48+'MC '!$G$52)*E24*'MC '!$B$75*12*(1+E23)^Working!E7</f>
        <v>0</v>
      </c>
      <c r="F14" s="24">
        <f>('MC '!$G$35+'MC '!$G$36+'MC '!$G$37+'MC '!$G$39+'MC '!$G$40+'MC '!$G$41+'MC '!$G$45+'MC '!$G$46+'MC '!$G$47+'MC '!$G$48+'MC '!$G$52)*F24*'MC '!$B$75*12*(1+F23)^Working!F7</f>
        <v>0</v>
      </c>
      <c r="G14" s="24">
        <f>('MC '!$G$35+'MC '!$G$36+'MC '!$G$37+'MC '!$G$39+'MC '!$G$40+'MC '!$G$41+'MC '!$G$45+'MC '!$G$46+'MC '!$G$47+'MC '!$G$48+'MC '!$G$52)*G24*'MC '!$B$75*12*(1+G23)^Working!G7</f>
        <v>0</v>
      </c>
      <c r="H14" s="24">
        <f>('MC '!$G$35+'MC '!$G$36+'MC '!$G$37+'MC '!$G$39+'MC '!$G$40+'MC '!$G$41+'MC '!$G$45+'MC '!$G$46+'MC '!$G$47+'MC '!$G$48+'MC '!$G$52)*H24*'MC '!$B$75*12*(1+H23)^Working!H7</f>
        <v>0</v>
      </c>
      <c r="I14" s="24">
        <f>('MC '!$G$35+'MC '!$G$36+'MC '!$G$37+'MC '!$G$39+'MC '!$G$40+'MC '!$G$41+'MC '!$G$45+'MC '!$G$46+'MC '!$G$47+'MC '!$G$48+'MC '!$G$52)*I24*'MC '!$B$75*12*(1+I23)^Working!I7</f>
        <v>0</v>
      </c>
      <c r="J14" s="24">
        <f>('MC '!$G$35+'MC '!$G$36+'MC '!$G$37+'MC '!$G$39+'MC '!$G$40+'MC '!$G$41+'MC '!$G$45+'MC '!$G$46+'MC '!$G$47+'MC '!$G$48+'MC '!$G$52)*J24*'MC '!$B$75*12*(1+J23)^Working!J7</f>
        <v>0</v>
      </c>
      <c r="K14" s="24">
        <f>('MC '!$G$35+'MC '!$G$36+'MC '!$G$37+'MC '!$G$39+'MC '!$G$40+'MC '!$G$41+'MC '!$G$45+'MC '!$G$46+'MC '!$G$47+'MC '!$G$48+'MC '!$G$52)*K24*'MC '!$B$75*12*(1+K23)^Working!K7</f>
        <v>0</v>
      </c>
      <c r="L14" s="24">
        <f>('MC '!$G$35+'MC '!$G$36+'MC '!$G$37+'MC '!$G$39+'MC '!$G$40+'MC '!$G$41+'MC '!$G$45+'MC '!$G$46+'MC '!$G$47+'MC '!$G$48+'MC '!$G$52)*L24*'MC '!$B$75*12*(1+L23)^Working!L7</f>
        <v>0</v>
      </c>
      <c r="M14" s="24">
        <f>('MC '!$G$35+'MC '!$G$36+'MC '!$G$37+'MC '!$G$39+'MC '!$G$40+'MC '!$G$41+'MC '!$G$45+'MC '!$G$46+'MC '!$G$47+'MC '!$G$48+'MC '!$G$52)*M24*'MC '!$B$75*12*(1+M23)^Working!M7</f>
        <v>0</v>
      </c>
      <c r="N14" s="24">
        <f>('MC '!$G$35+'MC '!$G$36+'MC '!$G$37+'MC '!$G$39+'MC '!$G$40+'MC '!$G$41+'MC '!$G$45+'MC '!$G$46+'MC '!$G$47+'MC '!$G$48+'MC '!$G$52)*N24*'MC '!$B$75*12*(1+N23)^Working!N7</f>
        <v>0</v>
      </c>
      <c r="O14" s="24">
        <f>('MC '!$G$35+'MC '!$G$36+'MC '!$G$37+'MC '!$G$39+'MC '!$G$40+'MC '!$G$41+'MC '!$G$45+'MC '!$G$46+'MC '!$G$47+'MC '!$G$48+'MC '!$G$52)*O24*'MC '!$B$75*12*(1+O23)^Working!O7</f>
        <v>0</v>
      </c>
      <c r="P14" s="24">
        <f>('MC '!$G$35+'MC '!$G$36+'MC '!$G$37+'MC '!$G$39+'MC '!$G$40+'MC '!$G$41+'MC '!$G$45+'MC '!$G$46+'MC '!$G$47+'MC '!$G$48+'MC '!$G$52)*P24*'MC '!$B$75*12*(1+P23)^Working!P7</f>
        <v>0</v>
      </c>
    </row>
    <row r="15" spans="1:20" ht="18" customHeight="1">
      <c r="A15" s="30" t="s">
        <v>372</v>
      </c>
      <c r="B15" s="24">
        <f>('MC '!$G$35+'MC '!$G$36+'MC '!$G$37+'MC '!$G$39+'MC '!$G$40+'MC '!$G$41+'MC '!$G$45+'MC '!$G$46+'MC '!$G$47+'MC '!$G$48+'MC '!$G$52)*B24*'MC '!$B$76*12*(1+B23)^Working!B7</f>
        <v>0</v>
      </c>
      <c r="C15" s="24">
        <f>('MC '!$G$35+'MC '!$G$36+'MC '!$G$37+'MC '!$G$39+'MC '!$G$40+'MC '!$G$41+'MC '!$G$45+'MC '!$G$46+'MC '!$G$47+'MC '!$G$48+'MC '!$G$52)*C24*'MC '!$B$76*12*(1+C23)^Working!C7</f>
        <v>0</v>
      </c>
      <c r="D15" s="24">
        <f>('MC '!$G$35+'MC '!$G$36+'MC '!$G$37+'MC '!$G$39+'MC '!$G$40+'MC '!$G$41+'MC '!$G$45+'MC '!$G$46+'MC '!$G$47+'MC '!$G$48+'MC '!$G$52)*D24*'MC '!$B$76*12*(1+D23)^Working!D7</f>
        <v>0</v>
      </c>
      <c r="E15" s="24">
        <f>('MC '!$G$35+'MC '!$G$36+'MC '!$G$37+'MC '!$G$39+'MC '!$G$40+'MC '!$G$41+'MC '!$G$45+'MC '!$G$46+'MC '!$G$47+'MC '!$G$48+'MC '!$G$52)*E24*'MC '!$B$76*12*(1+E23)^Working!E7</f>
        <v>0</v>
      </c>
      <c r="F15" s="24">
        <f>('MC '!$G$35+'MC '!$G$36+'MC '!$G$37+'MC '!$G$39+'MC '!$G$40+'MC '!$G$41+'MC '!$G$45+'MC '!$G$46+'MC '!$G$47+'MC '!$G$48+'MC '!$G$52)*F24*'MC '!$B$76*12*(1+F23)^Working!F7</f>
        <v>0</v>
      </c>
      <c r="G15" s="24">
        <f>('MC '!$G$35+'MC '!$G$36+'MC '!$G$37+'MC '!$G$39+'MC '!$G$40+'MC '!$G$41+'MC '!$G$45+'MC '!$G$46+'MC '!$G$47+'MC '!$G$48+'MC '!$G$52)*G24*'MC '!$B$76*12*(1+G23)^Working!G7</f>
        <v>0</v>
      </c>
      <c r="H15" s="24">
        <f>('MC '!$G$35+'MC '!$G$36+'MC '!$G$37+'MC '!$G$39+'MC '!$G$40+'MC '!$G$41+'MC '!$G$45+'MC '!$G$46+'MC '!$G$47+'MC '!$G$48+'MC '!$G$52)*H24*'MC '!$B$76*12*(1+H23)^Working!H7</f>
        <v>0</v>
      </c>
      <c r="I15" s="24">
        <f>('MC '!$G$35+'MC '!$G$36+'MC '!$G$37+'MC '!$G$39+'MC '!$G$40+'MC '!$G$41+'MC '!$G$45+'MC '!$G$46+'MC '!$G$47+'MC '!$G$48+'MC '!$G$52)*I24*'MC '!$B$76*12*(1+I23)^Working!I7</f>
        <v>0</v>
      </c>
      <c r="J15" s="24">
        <f>('MC '!$G$35+'MC '!$G$36+'MC '!$G$37+'MC '!$G$39+'MC '!$G$40+'MC '!$G$41+'MC '!$G$45+'MC '!$G$46+'MC '!$G$47+'MC '!$G$48+'MC '!$G$52)*J24*'MC '!$B$76*12*(1+J23)^Working!J7</f>
        <v>0</v>
      </c>
      <c r="K15" s="24">
        <f>('MC '!$G$35+'MC '!$G$36+'MC '!$G$37+'MC '!$G$39+'MC '!$G$40+'MC '!$G$41+'MC '!$G$45+'MC '!$G$46+'MC '!$G$47+'MC '!$G$48+'MC '!$G$52)*K24*'MC '!$B$76*12*(1+K23)^Working!K7</f>
        <v>0</v>
      </c>
      <c r="L15" s="24">
        <f>('MC '!$G$35+'MC '!$G$36+'MC '!$G$37+'MC '!$G$39+'MC '!$G$40+'MC '!$G$41+'MC '!$G$45+'MC '!$G$46+'MC '!$G$47+'MC '!$G$48+'MC '!$G$52)*L24*'MC '!$B$76*12*(1+L23)^Working!L7</f>
        <v>0</v>
      </c>
      <c r="M15" s="24">
        <f>('MC '!$G$35+'MC '!$G$36+'MC '!$G$37+'MC '!$G$39+'MC '!$G$40+'MC '!$G$41+'MC '!$G$45+'MC '!$G$46+'MC '!$G$47+'MC '!$G$48+'MC '!$G$52)*M24*'MC '!$B$76*12*(1+M23)^Working!M7</f>
        <v>0</v>
      </c>
      <c r="N15" s="24">
        <f>('MC '!$G$35+'MC '!$G$36+'MC '!$G$37+'MC '!$G$39+'MC '!$G$40+'MC '!$G$41+'MC '!$G$45+'MC '!$G$46+'MC '!$G$47+'MC '!$G$48+'MC '!$G$52)*N24*'MC '!$B$76*12*(1+N23)^Working!N7</f>
        <v>0</v>
      </c>
      <c r="O15" s="24">
        <f>('MC '!$G$35+'MC '!$G$36+'MC '!$G$37+'MC '!$G$39+'MC '!$G$40+'MC '!$G$41+'MC '!$G$45+'MC '!$G$46+'MC '!$G$47+'MC '!$G$48+'MC '!$G$52)*O24*'MC '!$B$76*12*(1+O23)^Working!O7</f>
        <v>0</v>
      </c>
      <c r="P15" s="24">
        <f>('MC '!$G$35+'MC '!$G$36+'MC '!$G$37+'MC '!$G$39+'MC '!$G$40+'MC '!$G$41+'MC '!$G$45+'MC '!$G$46+'MC '!$G$47+'MC '!$G$48+'MC '!$G$52)*P24*'MC '!$B$76*12*(1+P23)^Working!P7</f>
        <v>0</v>
      </c>
      <c r="T15" s="20"/>
    </row>
    <row r="16" spans="1:20" ht="18" customHeight="1">
      <c r="A16" s="30" t="s">
        <v>373</v>
      </c>
      <c r="B16" s="24">
        <f>('MC '!$G$35+'MC '!$G$36+'MC '!$G$37+'MC '!$G$39+'MC '!$G$40+'MC '!$G$41+'MC '!$G$45+'MC '!$G$46+'MC '!$G$47+'MC '!$G$48+'MC '!$G$52)*B24*'MC '!$B$77*12*(1+B23)^Working!B7</f>
        <v>0</v>
      </c>
      <c r="C16" s="24">
        <f>('MC '!$G$35+'MC '!$G$36+'MC '!$G$37+'MC '!$G$39+'MC '!$G$40+'MC '!$G$41+'MC '!$G$45+'MC '!$G$46+'MC '!$G$47+'MC '!$G$48+'MC '!$G$52)*C24*'MC '!$B$77*12*(1+C23)^Working!C7</f>
        <v>0</v>
      </c>
      <c r="D16" s="24">
        <f>('MC '!$G$35+'MC '!$G$36+'MC '!$G$37+'MC '!$G$39+'MC '!$G$40+'MC '!$G$41+'MC '!$G$45+'MC '!$G$46+'MC '!$G$47+'MC '!$G$48+'MC '!$G$52)*D24*'MC '!$B$77*12*(1+D23)^Working!D7</f>
        <v>0</v>
      </c>
      <c r="E16" s="24">
        <f>('MC '!$G$35+'MC '!$G$36+'MC '!$G$37+'MC '!$G$39+'MC '!$G$40+'MC '!$G$41+'MC '!$G$45+'MC '!$G$46+'MC '!$G$47+'MC '!$G$48+'MC '!$G$52)*E24*'MC '!$B$77*12*(1+E23)^Working!E7</f>
        <v>0</v>
      </c>
      <c r="F16" s="24">
        <f>('MC '!$G$35+'MC '!$G$36+'MC '!$G$37+'MC '!$G$39+'MC '!$G$40+'MC '!$G$41+'MC '!$G$45+'MC '!$G$46+'MC '!$G$47+'MC '!$G$48+'MC '!$G$52)*F24*'MC '!$B$77*12*(1+F23)^Working!F7</f>
        <v>0</v>
      </c>
      <c r="G16" s="24">
        <f>('MC '!$G$35+'MC '!$G$36+'MC '!$G$37+'MC '!$G$39+'MC '!$G$40+'MC '!$G$41+'MC '!$G$45+'MC '!$G$46+'MC '!$G$47+'MC '!$G$48+'MC '!$G$52)*G24*'MC '!$B$77*12*(1+G23)^Working!G7</f>
        <v>0</v>
      </c>
      <c r="H16" s="24">
        <f>('MC '!$G$35+'MC '!$G$36+'MC '!$G$37+'MC '!$G$39+'MC '!$G$40+'MC '!$G$41+'MC '!$G$45+'MC '!$G$46+'MC '!$G$47+'MC '!$G$48+'MC '!$G$52)*H24*'MC '!$B$77*12*(1+H23)^Working!H7</f>
        <v>0</v>
      </c>
      <c r="I16" s="24">
        <f>('MC '!$G$35+'MC '!$G$36+'MC '!$G$37+'MC '!$G$39+'MC '!$G$40+'MC '!$G$41+'MC '!$G$45+'MC '!$G$46+'MC '!$G$47+'MC '!$G$48+'MC '!$G$52)*I24*'MC '!$B$77*12*(1+I23)^Working!I7</f>
        <v>0</v>
      </c>
      <c r="J16" s="24">
        <f>('MC '!$G$35+'MC '!$G$36+'MC '!$G$37+'MC '!$G$39+'MC '!$G$40+'MC '!$G$41+'MC '!$G$45+'MC '!$G$46+'MC '!$G$47+'MC '!$G$48+'MC '!$G$52)*J24*'MC '!$B$77*12*(1+J23)^Working!J7</f>
        <v>0</v>
      </c>
      <c r="K16" s="24">
        <f>('MC '!$G$35+'MC '!$G$36+'MC '!$G$37+'MC '!$G$39+'MC '!$G$40+'MC '!$G$41+'MC '!$G$45+'MC '!$G$46+'MC '!$G$47+'MC '!$G$48+'MC '!$G$52)*K24*'MC '!$B$77*12*(1+K23)^Working!K7</f>
        <v>0</v>
      </c>
      <c r="L16" s="24">
        <f>('MC '!$G$35+'MC '!$G$36+'MC '!$G$37+'MC '!$G$39+'MC '!$G$40+'MC '!$G$41+'MC '!$G$45+'MC '!$G$46+'MC '!$G$47+'MC '!$G$48+'MC '!$G$52)*L24*'MC '!$B$77*12*(1+L23)^Working!L7</f>
        <v>0</v>
      </c>
      <c r="M16" s="24">
        <f>('MC '!$G$35+'MC '!$G$36+'MC '!$G$37+'MC '!$G$39+'MC '!$G$40+'MC '!$G$41+'MC '!$G$45+'MC '!$G$46+'MC '!$G$47+'MC '!$G$48+'MC '!$G$52)*M24*'MC '!$B$77*12*(1+M23)^Working!M7</f>
        <v>0</v>
      </c>
      <c r="N16" s="24">
        <f>('MC '!$G$35+'MC '!$G$36+'MC '!$G$37+'MC '!$G$39+'MC '!$G$40+'MC '!$G$41+'MC '!$G$45+'MC '!$G$46+'MC '!$G$47+'MC '!$G$48+'MC '!$G$52)*N24*'MC '!$B$77*12*(1+N23)^Working!N7</f>
        <v>0</v>
      </c>
      <c r="O16" s="24">
        <f>('MC '!$G$35+'MC '!$G$36+'MC '!$G$37+'MC '!$G$39+'MC '!$G$40+'MC '!$G$41+'MC '!$G$45+'MC '!$G$46+'MC '!$G$47+'MC '!$G$48+'MC '!$G$52)*O24*'MC '!$B$77*12*(1+O23)^Working!O7</f>
        <v>0</v>
      </c>
      <c r="P16" s="24">
        <f>('MC '!$G$35+'MC '!$G$36+'MC '!$G$37+'MC '!$G$39+'MC '!$G$40+'MC '!$G$41+'MC '!$G$45+'MC '!$G$46+'MC '!$G$47+'MC '!$G$48+'MC '!$G$52)*P24*'MC '!$B$77*12*(1+P23)^Working!P7</f>
        <v>0</v>
      </c>
      <c r="T16" s="20"/>
    </row>
    <row r="17" spans="1:22" ht="18" customHeight="1">
      <c r="A17" s="30" t="s">
        <v>33</v>
      </c>
      <c r="B17" s="24">
        <f>('MC '!$G$42)*B24*'MC '!$B$78*12*(1+B23)^Working!B7</f>
        <v>0</v>
      </c>
      <c r="C17" s="24">
        <f>('MC '!$G$42)*C24*'MC '!$B$78*12*(1+C23)^Working!C7</f>
        <v>0</v>
      </c>
      <c r="D17" s="24">
        <f>('MC '!$G$42)*D24*'MC '!$B$78*12*(1+D23)^Working!D7</f>
        <v>0</v>
      </c>
      <c r="E17" s="24">
        <f>('MC '!$G$42)*E24*'MC '!$B$78*12*(1+E23)^Working!E7</f>
        <v>0</v>
      </c>
      <c r="F17" s="24">
        <f>('MC '!$G$42)*F24*'MC '!$B$78*12*(1+F23)^Working!F7</f>
        <v>0</v>
      </c>
      <c r="G17" s="24">
        <f>('MC '!$G$42)*G24*'MC '!$B$78*12*(1+G23)^Working!G7</f>
        <v>0</v>
      </c>
      <c r="H17" s="24">
        <f>('MC '!$G$42)*H24*'MC '!$B$78*12*(1+H23)^Working!H7</f>
        <v>0</v>
      </c>
      <c r="I17" s="24">
        <f>('MC '!$G$42)*I24*'MC '!$B$78*12*(1+I23)^Working!I7</f>
        <v>0</v>
      </c>
      <c r="J17" s="24">
        <f>('MC '!$G$42)*J24*'MC '!$B$78*12*(1+J23)^Working!J7</f>
        <v>0</v>
      </c>
      <c r="K17" s="24">
        <f>('MC '!$G$42)*K24*'MC '!$B$78*12*(1+K23)^Working!K7</f>
        <v>0</v>
      </c>
      <c r="L17" s="24">
        <f>('MC '!$G$42)*L24*'MC '!$B$78*12*(1+L23)^Working!L7</f>
        <v>0</v>
      </c>
      <c r="M17" s="24">
        <f>('MC '!$G$42)*M24*'MC '!$B$78*12*(1+M23)^Working!M7</f>
        <v>0</v>
      </c>
      <c r="N17" s="24">
        <f>('MC '!$G$42)*N24*'MC '!$B$78*12*(1+N23)^Working!N7</f>
        <v>0</v>
      </c>
      <c r="O17" s="24">
        <f>('MC '!$G$42)*O24*'MC '!$B$78*12*(1+O23)^Working!O7</f>
        <v>0</v>
      </c>
      <c r="P17" s="24">
        <f>('MC '!$G$42)*P24*'MC '!$B$78*12*(1+P23)^Working!P7</f>
        <v>0</v>
      </c>
      <c r="T17" s="20"/>
    </row>
    <row r="18" spans="1:22" ht="18" customHeight="1">
      <c r="A18" s="30" t="s">
        <v>382</v>
      </c>
      <c r="B18" s="24">
        <f>B25*'MC '!$B$79*12*(1+Working!B23)^Working!B7*B24</f>
        <v>0</v>
      </c>
      <c r="C18" s="24">
        <f>C25*'MC '!$B$79*12*(1+Working!C23)^Working!C7*C24</f>
        <v>0</v>
      </c>
      <c r="D18" s="24">
        <f>D25*'MC '!$B$79*12*(1+Working!D23)^Working!D7*D24</f>
        <v>0</v>
      </c>
      <c r="E18" s="24">
        <f>E25*'MC '!$B$79*12*(1+Working!E23)^Working!E7*E24</f>
        <v>0</v>
      </c>
      <c r="F18" s="24">
        <f>F25*'MC '!$B$79*12*(1+Working!F23)^Working!F7*F24</f>
        <v>0</v>
      </c>
      <c r="G18" s="24">
        <f>G25*'MC '!$B$79*12*(1+Working!G23)^Working!G7*G24</f>
        <v>0</v>
      </c>
      <c r="H18" s="24">
        <f>H25*'MC '!$B$79*12*(1+Working!H23)^Working!H7*H24</f>
        <v>0</v>
      </c>
      <c r="I18" s="24">
        <f>I25*'MC '!$B$79*12*(1+Working!I23)^Working!I7*I24</f>
        <v>0</v>
      </c>
      <c r="J18" s="24">
        <f>J25*'MC '!$B$79*12*(1+Working!J23)^Working!J7*J24</f>
        <v>0</v>
      </c>
      <c r="K18" s="24">
        <f>K25*'MC '!$B$79*12*(1+Working!K23)^Working!K7*K24</f>
        <v>0</v>
      </c>
      <c r="L18" s="24">
        <f>L25*'MC '!$B$79*12*(1+Working!L23)^Working!L7*L24</f>
        <v>0</v>
      </c>
      <c r="M18" s="24">
        <f>M25*'MC '!$B$79*12*(1+Working!M23)^Working!M7*M24</f>
        <v>0</v>
      </c>
      <c r="N18" s="24">
        <f>N25*'MC '!$B$79*12*(1+Working!N23)^Working!N7*N24</f>
        <v>0</v>
      </c>
      <c r="O18" s="24">
        <f>O25*'MC '!$B$79*12*(1+Working!O23)^Working!O7*O24</f>
        <v>0</v>
      </c>
      <c r="P18" s="24">
        <f>P25*'MC '!$B$79*12*(1+Working!P23)^Working!P7*P24</f>
        <v>0</v>
      </c>
      <c r="T18" s="20"/>
    </row>
    <row r="19" spans="1:22" ht="18" customHeight="1">
      <c r="A19"/>
      <c r="B19"/>
      <c r="C19"/>
      <c r="D19"/>
      <c r="E19"/>
      <c r="F19"/>
      <c r="G19"/>
      <c r="H19"/>
      <c r="I19"/>
      <c r="J19"/>
      <c r="K19" s="1"/>
      <c r="L19" s="1"/>
      <c r="M19" s="1"/>
      <c r="N19" s="1"/>
      <c r="O19" s="1"/>
      <c r="P19" s="1"/>
      <c r="T19" s="20"/>
    </row>
    <row r="20" spans="1:22" ht="18" customHeight="1" thickBot="1">
      <c r="A20" s="169" t="s">
        <v>44</v>
      </c>
      <c r="B20" s="224">
        <f>SUM(B14:B17)</f>
        <v>0</v>
      </c>
      <c r="C20" s="224">
        <f t="shared" ref="C20:P20" si="0">SUM(C14:C17)</f>
        <v>0</v>
      </c>
      <c r="D20" s="224">
        <f t="shared" si="0"/>
        <v>0</v>
      </c>
      <c r="E20" s="224">
        <f t="shared" si="0"/>
        <v>0</v>
      </c>
      <c r="F20" s="224">
        <f t="shared" si="0"/>
        <v>0</v>
      </c>
      <c r="G20" s="224">
        <f t="shared" si="0"/>
        <v>0</v>
      </c>
      <c r="H20" s="224">
        <f t="shared" si="0"/>
        <v>0</v>
      </c>
      <c r="I20" s="224">
        <f t="shared" si="0"/>
        <v>0</v>
      </c>
      <c r="J20" s="224">
        <f t="shared" si="0"/>
        <v>0</v>
      </c>
      <c r="K20" s="224">
        <f t="shared" si="0"/>
        <v>0</v>
      </c>
      <c r="L20" s="224">
        <f t="shared" si="0"/>
        <v>0</v>
      </c>
      <c r="M20" s="224">
        <f t="shared" si="0"/>
        <v>0</v>
      </c>
      <c r="N20" s="224">
        <f t="shared" si="0"/>
        <v>0</v>
      </c>
      <c r="O20" s="224">
        <f t="shared" si="0"/>
        <v>0</v>
      </c>
      <c r="P20" s="224">
        <f t="shared" si="0"/>
        <v>0</v>
      </c>
    </row>
    <row r="21" spans="1:22" ht="18" customHeight="1" thickTop="1">
      <c r="A21" s="169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</row>
    <row r="22" spans="1:22" ht="18" customHeight="1">
      <c r="A22"/>
      <c r="B22"/>
      <c r="C22"/>
      <c r="D22"/>
      <c r="E22"/>
      <c r="F22"/>
      <c r="G22"/>
      <c r="H22"/>
      <c r="I22"/>
      <c r="J22"/>
      <c r="K22" s="1"/>
      <c r="L22" s="1"/>
      <c r="M22" s="1"/>
      <c r="N22" s="1"/>
      <c r="O22" s="1"/>
      <c r="P22" s="1"/>
    </row>
    <row r="23" spans="1:22" ht="18" customHeight="1">
      <c r="A23" t="s">
        <v>34</v>
      </c>
      <c r="B23" s="242">
        <v>0</v>
      </c>
      <c r="C23" s="242">
        <v>0</v>
      </c>
      <c r="D23" s="242">
        <v>0</v>
      </c>
      <c r="E23" s="242">
        <v>0</v>
      </c>
      <c r="F23" s="242">
        <v>0</v>
      </c>
      <c r="G23" s="242">
        <v>0</v>
      </c>
      <c r="H23" s="242">
        <v>0</v>
      </c>
      <c r="I23" s="242">
        <v>0</v>
      </c>
      <c r="J23" s="242">
        <v>0</v>
      </c>
      <c r="K23" s="242">
        <v>0</v>
      </c>
      <c r="L23" s="242">
        <v>0</v>
      </c>
      <c r="M23" s="242">
        <v>0</v>
      </c>
      <c r="N23" s="242">
        <v>0</v>
      </c>
      <c r="O23" s="242">
        <v>0</v>
      </c>
      <c r="P23" s="242">
        <v>0</v>
      </c>
    </row>
    <row r="24" spans="1:22" s="167" customFormat="1" ht="18" customHeight="1">
      <c r="A24" s="168" t="s">
        <v>41</v>
      </c>
      <c r="B24" s="243">
        <v>0</v>
      </c>
      <c r="C24" s="244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</row>
    <row r="25" spans="1:22" s="167" customFormat="1" ht="18" customHeight="1">
      <c r="A25" s="168" t="s">
        <v>424</v>
      </c>
      <c r="B25" s="245">
        <v>0</v>
      </c>
      <c r="C25" s="245">
        <v>0</v>
      </c>
      <c r="D25" s="245">
        <v>0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  <c r="O25" s="245">
        <v>0</v>
      </c>
      <c r="P25" s="245">
        <v>0</v>
      </c>
    </row>
    <row r="26" spans="1:22" s="167" customFormat="1" ht="18" customHeight="1">
      <c r="A26" s="168" t="s">
        <v>376</v>
      </c>
      <c r="B26" s="170">
        <f>(SUM('MC '!$G$34:$G$54)-'MC '!$G$51)*Working!B24+'MC '!$G$51</f>
        <v>334.4</v>
      </c>
      <c r="C26" s="170">
        <f>(SUM('MC '!$G$34:$G$54)-'MC '!$G$51)*Working!C24+'MC '!$G$51</f>
        <v>334.4</v>
      </c>
      <c r="D26" s="170">
        <f>(SUM('MC '!$G$34:$G$54)-'MC '!$G$51)*Working!D24+'MC '!$G$51</f>
        <v>334.4</v>
      </c>
      <c r="E26" s="170">
        <f>(SUM('MC '!$G$34:$G$54)-'MC '!$G$51)*Working!E24+'MC '!$G$51</f>
        <v>334.4</v>
      </c>
      <c r="F26" s="170">
        <f>(SUM('MC '!$G$34:$G$54)-'MC '!$G$51)*Working!F24+'MC '!$G$51</f>
        <v>334.4</v>
      </c>
      <c r="G26" s="170">
        <f>(SUM('MC '!$G$34:$G$54)-'MC '!$G$51)*Working!G24+'MC '!$G$51</f>
        <v>334.4</v>
      </c>
      <c r="H26" s="170">
        <f>(SUM('MC '!$G$34:$G$54)-'MC '!$G$51)*Working!H24+'MC '!$G$51</f>
        <v>334.4</v>
      </c>
      <c r="I26" s="170">
        <f>(SUM('MC '!$G$34:$G$54)-'MC '!$G$51)*Working!I24+'MC '!$G$51</f>
        <v>334.4</v>
      </c>
      <c r="J26" s="170">
        <f>(SUM('MC '!$G$34:$G$54)-'MC '!$G$51)*Working!J24+'MC '!$G$51</f>
        <v>334.4</v>
      </c>
      <c r="K26" s="170">
        <f>(SUM('MC '!$G$34:$G$54)-'MC '!$G$51)*Working!K24+'MC '!$G$51</f>
        <v>334.4</v>
      </c>
      <c r="L26" s="170">
        <f>(SUM('MC '!$G$34:$G$54)-'MC '!$G$51)*Working!L24+'MC '!$G$51</f>
        <v>334.4</v>
      </c>
      <c r="M26" s="170">
        <f>(SUM('MC '!$G$34:$G$54)-'MC '!$G$51)*Working!M24+'MC '!$G$51</f>
        <v>334.4</v>
      </c>
      <c r="N26" s="170">
        <f>(SUM('MC '!$G$34:$G$54)-'MC '!$G$51)*Working!N24+'MC '!$G$51</f>
        <v>334.4</v>
      </c>
      <c r="O26" s="170">
        <f>(SUM('MC '!$G$34:$G$54)-'MC '!$G$51)*Working!O24+'MC '!$G$51</f>
        <v>334.4</v>
      </c>
      <c r="P26" s="170">
        <f>(SUM('MC '!$G$34:$G$54)-'MC '!$G$51)*Working!P24+'MC '!$G$51</f>
        <v>334.4</v>
      </c>
    </row>
    <row r="27" spans="1:22" s="167" customFormat="1" ht="18" customHeight="1">
      <c r="A27" s="168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</row>
    <row r="28" spans="1:22" s="167" customFormat="1" ht="18" customHeight="1">
      <c r="A28" s="168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</row>
    <row r="29" spans="1:22" ht="18" customHeight="1">
      <c r="A29" t="s">
        <v>380</v>
      </c>
      <c r="B29" s="247">
        <v>0</v>
      </c>
      <c r="C29" s="247">
        <v>0</v>
      </c>
      <c r="D29" s="247">
        <v>0</v>
      </c>
      <c r="E29" s="247">
        <v>0</v>
      </c>
      <c r="F29" s="247">
        <v>0</v>
      </c>
      <c r="G29" s="247">
        <v>0</v>
      </c>
      <c r="H29" s="247">
        <v>0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47">
        <v>0</v>
      </c>
      <c r="P29" s="247">
        <v>0</v>
      </c>
    </row>
    <row r="30" spans="1:22" s="223" customFormat="1" ht="18" customHeight="1">
      <c r="A30" s="19" t="s">
        <v>98</v>
      </c>
      <c r="B30" s="19"/>
      <c r="C30" s="19"/>
      <c r="D30" s="19"/>
      <c r="E30" s="19"/>
      <c r="F30" s="19"/>
      <c r="G30" s="19"/>
      <c r="H30" s="19"/>
      <c r="I30" s="19"/>
      <c r="J30" s="19"/>
      <c r="K30" s="222"/>
      <c r="L30" s="222"/>
      <c r="M30" s="222"/>
      <c r="N30" s="222"/>
      <c r="O30" s="222"/>
      <c r="P30" s="222"/>
    </row>
    <row r="31" spans="1:22" ht="18" customHeight="1">
      <c r="A31" t="s">
        <v>6</v>
      </c>
      <c r="B31" s="24">
        <f>'MC '!$B$86*12*(1+B29)^B7</f>
        <v>0</v>
      </c>
      <c r="C31" s="24">
        <f>B31*(1+C29)</f>
        <v>0</v>
      </c>
      <c r="D31" s="24">
        <f t="shared" ref="D31:P31" si="1">C31*(1+D29)</f>
        <v>0</v>
      </c>
      <c r="E31" s="24">
        <f t="shared" si="1"/>
        <v>0</v>
      </c>
      <c r="F31" s="24">
        <f t="shared" si="1"/>
        <v>0</v>
      </c>
      <c r="G31" s="24">
        <f t="shared" si="1"/>
        <v>0</v>
      </c>
      <c r="H31" s="24">
        <f t="shared" si="1"/>
        <v>0</v>
      </c>
      <c r="I31" s="24">
        <f t="shared" si="1"/>
        <v>0</v>
      </c>
      <c r="J31" s="24">
        <f t="shared" si="1"/>
        <v>0</v>
      </c>
      <c r="K31" s="24">
        <f t="shared" si="1"/>
        <v>0</v>
      </c>
      <c r="L31" s="24">
        <f t="shared" si="1"/>
        <v>0</v>
      </c>
      <c r="M31" s="24">
        <f t="shared" si="1"/>
        <v>0</v>
      </c>
      <c r="N31" s="24">
        <f t="shared" si="1"/>
        <v>0</v>
      </c>
      <c r="O31" s="24">
        <f t="shared" si="1"/>
        <v>0</v>
      </c>
      <c r="P31" s="24">
        <f t="shared" si="1"/>
        <v>0</v>
      </c>
      <c r="V31" s="2" t="e">
        <f>#REF!*10%</f>
        <v>#REF!</v>
      </c>
    </row>
    <row r="32" spans="1:22" ht="18" customHeight="1">
      <c r="A32" t="s">
        <v>381</v>
      </c>
      <c r="B32" s="24">
        <f>B20*'MC '!$B$87</f>
        <v>0</v>
      </c>
      <c r="C32" s="24">
        <f>C20*'MC '!$B$87</f>
        <v>0</v>
      </c>
      <c r="D32" s="24">
        <f>D20*'MC '!$B$87</f>
        <v>0</v>
      </c>
      <c r="E32" s="24">
        <f>E20*'MC '!$B$87</f>
        <v>0</v>
      </c>
      <c r="F32" s="24">
        <f>F20*'MC '!$B$87</f>
        <v>0</v>
      </c>
      <c r="G32" s="24">
        <f>G20*'MC '!$B$87</f>
        <v>0</v>
      </c>
      <c r="H32" s="24">
        <f>H20*'MC '!$B$87</f>
        <v>0</v>
      </c>
      <c r="I32" s="24">
        <f>I20*'MC '!$B$87</f>
        <v>0</v>
      </c>
      <c r="J32" s="24">
        <f>J20*'MC '!$B$87</f>
        <v>0</v>
      </c>
      <c r="K32" s="24">
        <f>K20*'MC '!$B$87</f>
        <v>0</v>
      </c>
      <c r="L32" s="24">
        <f>L20*'MC '!$B$87</f>
        <v>0</v>
      </c>
      <c r="M32" s="24">
        <f>M20*'MC '!$B$87</f>
        <v>0</v>
      </c>
      <c r="N32" s="24">
        <f>N20*'MC '!$B$87</f>
        <v>0</v>
      </c>
      <c r="O32" s="24">
        <f>O20*'MC '!$B$87</f>
        <v>0</v>
      </c>
      <c r="P32" s="24">
        <f>P20*'MC '!$B$87</f>
        <v>0</v>
      </c>
    </row>
    <row r="33" spans="1:16" ht="18" customHeight="1">
      <c r="A33" t="s">
        <v>7</v>
      </c>
      <c r="B33" s="24">
        <f>B20*'MC '!$B$88</f>
        <v>0</v>
      </c>
      <c r="C33" s="24">
        <f>C20*'MC '!$B$88</f>
        <v>0</v>
      </c>
      <c r="D33" s="24">
        <f>D20*'MC '!$B$88</f>
        <v>0</v>
      </c>
      <c r="E33" s="24">
        <f>E20*'MC '!$B$88</f>
        <v>0</v>
      </c>
      <c r="F33" s="24">
        <f>F20*'MC '!$B$88</f>
        <v>0</v>
      </c>
      <c r="G33" s="24">
        <f>G20*'MC '!$B$88</f>
        <v>0</v>
      </c>
      <c r="H33" s="24">
        <f>H20*'MC '!$B$88</f>
        <v>0</v>
      </c>
      <c r="I33" s="24">
        <f>I20*'MC '!$B$88</f>
        <v>0</v>
      </c>
      <c r="J33" s="24">
        <f>J20*'MC '!$B$88</f>
        <v>0</v>
      </c>
      <c r="K33" s="24">
        <f>K20*'MC '!$B$88</f>
        <v>0</v>
      </c>
      <c r="L33" s="24">
        <f>L20*'MC '!$B$88</f>
        <v>0</v>
      </c>
      <c r="M33" s="24">
        <f>M20*'MC '!$B$88</f>
        <v>0</v>
      </c>
      <c r="N33" s="24">
        <f>N20*'MC '!$B$88</f>
        <v>0</v>
      </c>
      <c r="O33" s="24">
        <f>O20*'MC '!$B$88</f>
        <v>0</v>
      </c>
      <c r="P33" s="24">
        <f>P20*'MC '!$B$88</f>
        <v>0</v>
      </c>
    </row>
    <row r="34" spans="1:16" ht="18" customHeight="1">
      <c r="A34" t="s">
        <v>8</v>
      </c>
      <c r="B34" s="24">
        <f>('MC '!$B$89*12)*(1+Working!B29)^Working!B7</f>
        <v>0</v>
      </c>
      <c r="C34" s="24">
        <f>B34*(1+C29)</f>
        <v>0</v>
      </c>
      <c r="D34" s="24">
        <f t="shared" ref="D34:P34" si="2">C34*(1+D29)</f>
        <v>0</v>
      </c>
      <c r="E34" s="24">
        <f t="shared" si="2"/>
        <v>0</v>
      </c>
      <c r="F34" s="24">
        <f t="shared" si="2"/>
        <v>0</v>
      </c>
      <c r="G34" s="24">
        <f t="shared" si="2"/>
        <v>0</v>
      </c>
      <c r="H34" s="24">
        <f t="shared" si="2"/>
        <v>0</v>
      </c>
      <c r="I34" s="24">
        <f t="shared" si="2"/>
        <v>0</v>
      </c>
      <c r="J34" s="24">
        <f t="shared" si="2"/>
        <v>0</v>
      </c>
      <c r="K34" s="24">
        <f t="shared" si="2"/>
        <v>0</v>
      </c>
      <c r="L34" s="24">
        <f t="shared" si="2"/>
        <v>0</v>
      </c>
      <c r="M34" s="24">
        <f t="shared" si="2"/>
        <v>0</v>
      </c>
      <c r="N34" s="24">
        <f t="shared" si="2"/>
        <v>0</v>
      </c>
      <c r="O34" s="24">
        <f t="shared" si="2"/>
        <v>0</v>
      </c>
      <c r="P34" s="24">
        <f t="shared" si="2"/>
        <v>0</v>
      </c>
    </row>
    <row r="35" spans="1:16" ht="18" customHeight="1">
      <c r="A35" t="s">
        <v>9</v>
      </c>
      <c r="B35" s="24">
        <f>'MC '!B94*12*(1+Working!B29)</f>
        <v>0</v>
      </c>
      <c r="C35" s="25">
        <f t="shared" ref="C35:P35" si="3">B35*(1+C29)</f>
        <v>0</v>
      </c>
      <c r="D35" s="25">
        <f t="shared" si="3"/>
        <v>0</v>
      </c>
      <c r="E35" s="25">
        <f t="shared" si="3"/>
        <v>0</v>
      </c>
      <c r="F35" s="25">
        <f t="shared" si="3"/>
        <v>0</v>
      </c>
      <c r="G35" s="25">
        <f t="shared" si="3"/>
        <v>0</v>
      </c>
      <c r="H35" s="25">
        <f t="shared" si="3"/>
        <v>0</v>
      </c>
      <c r="I35" s="25">
        <f t="shared" si="3"/>
        <v>0</v>
      </c>
      <c r="J35" s="25">
        <f t="shared" si="3"/>
        <v>0</v>
      </c>
      <c r="K35" s="25">
        <f t="shared" si="3"/>
        <v>0</v>
      </c>
      <c r="L35" s="25">
        <f t="shared" si="3"/>
        <v>0</v>
      </c>
      <c r="M35" s="25">
        <f t="shared" si="3"/>
        <v>0</v>
      </c>
      <c r="N35" s="25">
        <f t="shared" si="3"/>
        <v>0</v>
      </c>
      <c r="O35" s="25">
        <f t="shared" si="3"/>
        <v>0</v>
      </c>
      <c r="P35" s="25">
        <f t="shared" si="3"/>
        <v>0</v>
      </c>
    </row>
    <row r="36" spans="1:16" ht="18" customHeight="1" thickBot="1">
      <c r="A36"/>
      <c r="B36" s="224">
        <f t="shared" ref="B36:P36" si="4">SUM(B31:B35)</f>
        <v>0</v>
      </c>
      <c r="C36" s="224">
        <f t="shared" si="4"/>
        <v>0</v>
      </c>
      <c r="D36" s="224">
        <f t="shared" si="4"/>
        <v>0</v>
      </c>
      <c r="E36" s="224">
        <f t="shared" si="4"/>
        <v>0</v>
      </c>
      <c r="F36" s="224">
        <f t="shared" si="4"/>
        <v>0</v>
      </c>
      <c r="G36" s="224">
        <f t="shared" si="4"/>
        <v>0</v>
      </c>
      <c r="H36" s="224">
        <f t="shared" si="4"/>
        <v>0</v>
      </c>
      <c r="I36" s="224">
        <f t="shared" si="4"/>
        <v>0</v>
      </c>
      <c r="J36" s="224">
        <f t="shared" si="4"/>
        <v>0</v>
      </c>
      <c r="K36" s="224">
        <f t="shared" si="4"/>
        <v>0</v>
      </c>
      <c r="L36" s="224">
        <f t="shared" si="4"/>
        <v>0</v>
      </c>
      <c r="M36" s="224">
        <f t="shared" si="4"/>
        <v>0</v>
      </c>
      <c r="N36" s="224">
        <f t="shared" si="4"/>
        <v>0</v>
      </c>
      <c r="O36" s="224">
        <f t="shared" si="4"/>
        <v>0</v>
      </c>
      <c r="P36" s="224">
        <f t="shared" si="4"/>
        <v>0</v>
      </c>
    </row>
    <row r="37" spans="1:16" ht="18" customHeight="1" thickTop="1">
      <c r="A37"/>
      <c r="B37" s="27"/>
      <c r="C37"/>
      <c r="D37"/>
      <c r="E37"/>
      <c r="F37"/>
      <c r="G37"/>
      <c r="H37"/>
      <c r="I37"/>
      <c r="J37"/>
      <c r="K37" s="1"/>
    </row>
    <row r="38" spans="1:16" ht="18" customHeight="1">
      <c r="A38"/>
      <c r="B38"/>
      <c r="C38" s="34"/>
      <c r="D38"/>
      <c r="E38"/>
      <c r="F38"/>
      <c r="G38"/>
      <c r="H38"/>
      <c r="I38"/>
      <c r="J38"/>
      <c r="K38" s="1"/>
    </row>
    <row r="39" spans="1:16" ht="18" customHeight="1">
      <c r="A39"/>
      <c r="B39" s="27"/>
      <c r="C39" s="27"/>
      <c r="D39" s="27"/>
      <c r="E39" s="27"/>
      <c r="F39" s="27"/>
      <c r="G39" s="27"/>
      <c r="H39" s="27"/>
      <c r="I39" s="27"/>
      <c r="J39" s="27"/>
      <c r="K39" s="27"/>
      <c r="M39" s="4"/>
      <c r="O39" s="21"/>
    </row>
    <row r="40" spans="1:16" ht="18" customHeight="1">
      <c r="A40"/>
      <c r="B40"/>
      <c r="C40"/>
      <c r="D40"/>
      <c r="E40"/>
      <c r="F40"/>
      <c r="G40"/>
      <c r="H40"/>
      <c r="I40"/>
      <c r="J40"/>
      <c r="K40" s="1"/>
      <c r="M40" s="4"/>
      <c r="O40" s="21"/>
    </row>
    <row r="41" spans="1:16" ht="18" customHeight="1">
      <c r="A41"/>
      <c r="B41"/>
      <c r="C41"/>
      <c r="D41"/>
      <c r="E41"/>
      <c r="F41"/>
      <c r="G41"/>
      <c r="H41"/>
      <c r="I41"/>
      <c r="J41"/>
      <c r="K41" s="1"/>
      <c r="M41" s="4"/>
      <c r="O41" s="21"/>
    </row>
    <row r="42" spans="1:16" ht="18" customHeight="1">
      <c r="A42"/>
      <c r="B42"/>
      <c r="C42"/>
      <c r="D42"/>
      <c r="E42"/>
      <c r="F42"/>
      <c r="G42"/>
      <c r="H42"/>
      <c r="I42"/>
      <c r="J42"/>
      <c r="K42" s="1"/>
      <c r="M42" s="4"/>
      <c r="O42" s="21"/>
    </row>
    <row r="43" spans="1:16" ht="18" customHeight="1">
      <c r="A43"/>
      <c r="B43"/>
      <c r="C43"/>
      <c r="D43"/>
      <c r="E43"/>
      <c r="F43"/>
      <c r="G43"/>
      <c r="H43"/>
      <c r="I43"/>
      <c r="J43"/>
      <c r="K43" s="1"/>
      <c r="M43" s="4"/>
      <c r="O43" s="21"/>
    </row>
    <row r="44" spans="1:16" ht="18" customHeight="1">
      <c r="A44"/>
      <c r="B44"/>
      <c r="C44"/>
      <c r="D44"/>
      <c r="E44"/>
      <c r="F44"/>
      <c r="G44"/>
      <c r="H44"/>
      <c r="I44"/>
      <c r="J44"/>
      <c r="K44" s="1"/>
      <c r="M44" s="4"/>
      <c r="O44" s="21"/>
    </row>
    <row r="45" spans="1:16" ht="18" customHeight="1">
      <c r="A45"/>
      <c r="B45"/>
      <c r="C45"/>
      <c r="D45"/>
      <c r="E45"/>
      <c r="F45"/>
      <c r="G45"/>
      <c r="H45"/>
      <c r="I45"/>
      <c r="J45"/>
      <c r="K45" s="1"/>
      <c r="M45" s="4"/>
      <c r="O45" s="21"/>
    </row>
    <row r="46" spans="1:16" ht="18" customHeight="1">
      <c r="A46"/>
      <c r="B46"/>
      <c r="C46"/>
      <c r="D46"/>
      <c r="E46"/>
      <c r="F46"/>
      <c r="G46"/>
      <c r="H46"/>
      <c r="I46"/>
      <c r="J46"/>
      <c r="K46" s="1"/>
      <c r="M46" s="4"/>
      <c r="O46" s="21"/>
    </row>
    <row r="47" spans="1:16" ht="18" customHeight="1">
      <c r="A47"/>
      <c r="B47"/>
      <c r="C47"/>
      <c r="D47"/>
      <c r="E47"/>
      <c r="F47"/>
      <c r="G47"/>
      <c r="H47"/>
      <c r="I47"/>
      <c r="J47"/>
      <c r="K47" s="1"/>
    </row>
    <row r="48" spans="1:16" ht="18" customHeight="1">
      <c r="A48"/>
      <c r="B48"/>
      <c r="C48"/>
      <c r="D48"/>
      <c r="E48"/>
      <c r="F48"/>
      <c r="G48"/>
      <c r="H48"/>
      <c r="I48"/>
      <c r="J48"/>
      <c r="K48" s="1"/>
    </row>
    <row r="49" spans="1:11" ht="18" customHeight="1">
      <c r="A49"/>
      <c r="B49"/>
      <c r="C49"/>
      <c r="D49"/>
      <c r="E49"/>
      <c r="F49"/>
      <c r="G49"/>
      <c r="H49"/>
      <c r="I49"/>
      <c r="J49"/>
      <c r="K49" s="1"/>
    </row>
    <row r="50" spans="1:11" ht="18" customHeight="1">
      <c r="A50"/>
      <c r="B50"/>
      <c r="C50"/>
      <c r="D50"/>
      <c r="E50"/>
      <c r="F50"/>
      <c r="G50"/>
      <c r="H50"/>
      <c r="I50"/>
      <c r="J50"/>
      <c r="K50" s="1"/>
    </row>
    <row r="51" spans="1:11" ht="18" customHeight="1">
      <c r="A51"/>
      <c r="B51"/>
      <c r="C51"/>
      <c r="D51"/>
      <c r="E51"/>
      <c r="F51"/>
      <c r="G51"/>
      <c r="H51"/>
      <c r="I51"/>
      <c r="J51"/>
      <c r="K51" s="1"/>
    </row>
    <row r="52" spans="1:11" ht="18" customHeight="1">
      <c r="A52"/>
      <c r="B52"/>
      <c r="C52"/>
      <c r="D52"/>
      <c r="E52"/>
      <c r="F52"/>
      <c r="G52"/>
      <c r="H52"/>
      <c r="I52"/>
      <c r="J52"/>
      <c r="K52" s="1"/>
    </row>
    <row r="53" spans="1:11" ht="18" customHeight="1">
      <c r="A53"/>
      <c r="B53"/>
      <c r="C53"/>
      <c r="D53"/>
      <c r="E53"/>
      <c r="F53"/>
      <c r="G53"/>
      <c r="H53"/>
      <c r="I53"/>
      <c r="J53"/>
      <c r="K53" s="1"/>
    </row>
    <row r="54" spans="1:11" ht="18" customHeight="1">
      <c r="A54"/>
      <c r="B54"/>
      <c r="C54"/>
      <c r="D54"/>
      <c r="E54"/>
      <c r="F54"/>
      <c r="G54"/>
      <c r="H54"/>
      <c r="I54"/>
      <c r="J54"/>
      <c r="K54" s="1"/>
    </row>
    <row r="55" spans="1:11" ht="18" customHeight="1">
      <c r="A55"/>
      <c r="B55"/>
      <c r="C55"/>
      <c r="D55"/>
      <c r="E55"/>
      <c r="F55"/>
      <c r="G55"/>
      <c r="H55"/>
      <c r="I55"/>
      <c r="J55"/>
      <c r="K55" s="1"/>
    </row>
    <row r="56" spans="1:11" ht="18" customHeight="1">
      <c r="A56"/>
      <c r="B56"/>
      <c r="C56"/>
      <c r="D56"/>
      <c r="E56"/>
      <c r="F56"/>
      <c r="G56"/>
      <c r="H56"/>
      <c r="I56"/>
      <c r="J56"/>
      <c r="K56" s="1"/>
    </row>
    <row r="57" spans="1:11" ht="18" customHeight="1">
      <c r="A57" s="4"/>
      <c r="B57" s="4"/>
      <c r="C57" s="4"/>
      <c r="D57" s="4"/>
      <c r="K57" s="1"/>
    </row>
    <row r="58" spans="1:11" ht="18" customHeight="1">
      <c r="A58" s="4"/>
      <c r="B58" s="4"/>
      <c r="C58" s="4"/>
      <c r="D58" s="4"/>
      <c r="K58" s="1"/>
    </row>
    <row r="59" spans="1:11" ht="18" customHeight="1">
      <c r="D59" s="4"/>
      <c r="E59" s="18"/>
      <c r="F59" s="18"/>
      <c r="G59" s="18"/>
      <c r="H59" s="18"/>
      <c r="I59" s="18"/>
      <c r="J59" s="18"/>
      <c r="K59" s="1"/>
    </row>
    <row r="60" spans="1:11" ht="18" customHeight="1">
      <c r="D60" s="4"/>
      <c r="E60" s="4"/>
      <c r="F60" s="4"/>
      <c r="G60" s="4"/>
      <c r="H60" s="4"/>
      <c r="I60" s="4"/>
      <c r="J60" s="4"/>
      <c r="K60" s="1"/>
    </row>
  </sheetData>
  <printOptions horizontalCentered="1"/>
  <pageMargins left="0.2" right="0.2" top="0.5" bottom="0.2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15</vt:i4>
      </vt:variant>
    </vt:vector>
  </HeadingPairs>
  <TitlesOfParts>
    <vt:vector size="29" baseType="lpstr">
      <vt:lpstr>Sheet2</vt:lpstr>
      <vt:lpstr>Cover</vt:lpstr>
      <vt:lpstr>MC </vt:lpstr>
      <vt:lpstr>CAPEX - Summary</vt:lpstr>
      <vt:lpstr>Component 1- Electric Work</vt:lpstr>
      <vt:lpstr>Component 2- Plumbing Work</vt:lpstr>
      <vt:lpstr>Component 3- STP </vt:lpstr>
      <vt:lpstr>FA</vt:lpstr>
      <vt:lpstr>Working</vt:lpstr>
      <vt:lpstr>PnL</vt:lpstr>
      <vt:lpstr>BS</vt:lpstr>
      <vt:lpstr>CF</vt:lpstr>
      <vt:lpstr>PR</vt:lpstr>
      <vt:lpstr>FP</vt:lpstr>
      <vt:lpstr>BS!Print_Area</vt:lpstr>
      <vt:lpstr>CF!Print_Area</vt:lpstr>
      <vt:lpstr>Cover!Print_Area</vt:lpstr>
      <vt:lpstr>FP!Print_Area</vt:lpstr>
      <vt:lpstr>'MC '!Print_Area</vt:lpstr>
      <vt:lpstr>PnL!Print_Area</vt:lpstr>
      <vt:lpstr>PR!Print_Area</vt:lpstr>
      <vt:lpstr>Working!Print_Area</vt:lpstr>
      <vt:lpstr>BS!Print_Titles</vt:lpstr>
      <vt:lpstr>CF!Print_Titles</vt:lpstr>
      <vt:lpstr>FP!Print_Titles</vt:lpstr>
      <vt:lpstr>'MC '!Print_Titles</vt:lpstr>
      <vt:lpstr>PnL!Print_Titles</vt:lpstr>
      <vt:lpstr>PR!Print_Titles</vt:lpstr>
      <vt:lpstr>Working!Print_Titles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manahil amad</dc:creator>
  <cp:lastModifiedBy>manahil amad</cp:lastModifiedBy>
  <dcterms:created xsi:type="dcterms:W3CDTF">2024-06-08T02:22:10Z</dcterms:created>
  <dcterms:modified xsi:type="dcterms:W3CDTF">2024-08-05T07:25:19Z</dcterms:modified>
</cp:coreProperties>
</file>